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y Documents\REANNA\Godišnji izvještaj o izvršenju Financijskog plana 2024\"/>
    </mc:Choice>
  </mc:AlternateContent>
  <xr:revisionPtr revIDLastSave="0" documentId="8_{981072E9-1753-451D-AF1A-0AC4B52795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0">SAŽETAK!$B$1:$K$27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3" l="1"/>
  <c r="K77" i="3"/>
  <c r="L18" i="3"/>
  <c r="L21" i="3"/>
  <c r="L22" i="3"/>
  <c r="L23" i="3"/>
  <c r="K19" i="3"/>
  <c r="K20" i="3"/>
  <c r="K131" i="3"/>
  <c r="L143" i="3"/>
  <c r="K143" i="3"/>
  <c r="J142" i="3"/>
  <c r="I142" i="3"/>
  <c r="H142" i="3"/>
  <c r="G142" i="3"/>
  <c r="H122" i="7"/>
  <c r="G122" i="7"/>
  <c r="H85" i="7"/>
  <c r="G85" i="7"/>
  <c r="G79" i="7"/>
  <c r="G22" i="7"/>
  <c r="I194" i="7"/>
  <c r="H193" i="7"/>
  <c r="I193" i="7" s="1"/>
  <c r="G193" i="7"/>
  <c r="L142" i="3" l="1"/>
  <c r="K142" i="3"/>
  <c r="H139" i="7"/>
  <c r="G139" i="7"/>
  <c r="H147" i="7"/>
  <c r="G147" i="7"/>
  <c r="G65" i="7"/>
  <c r="H204" i="7"/>
  <c r="H195" i="7" s="1"/>
  <c r="H192" i="7" s="1"/>
  <c r="G195" i="7"/>
  <c r="G192" i="7" s="1"/>
  <c r="I199" i="7"/>
  <c r="G186" i="7"/>
  <c r="H186" i="7"/>
  <c r="G190" i="7"/>
  <c r="H190" i="7"/>
  <c r="G171" i="7"/>
  <c r="H179" i="7"/>
  <c r="I179" i="7" s="1"/>
  <c r="G154" i="7"/>
  <c r="I155" i="7"/>
  <c r="H166" i="7"/>
  <c r="I166" i="7" s="1"/>
  <c r="H163" i="7"/>
  <c r="H158" i="7"/>
  <c r="G151" i="7"/>
  <c r="H152" i="7"/>
  <c r="H151" i="7" s="1"/>
  <c r="H133" i="7"/>
  <c r="H129" i="7"/>
  <c r="H127" i="7"/>
  <c r="H126" i="7"/>
  <c r="H125" i="7"/>
  <c r="H116" i="7"/>
  <c r="H114" i="7"/>
  <c r="H112" i="7"/>
  <c r="H111" i="7"/>
  <c r="H110" i="7"/>
  <c r="H109" i="7"/>
  <c r="H108" i="7"/>
  <c r="H107" i="7"/>
  <c r="H106" i="7"/>
  <c r="H105" i="7"/>
  <c r="H104" i="7"/>
  <c r="H103" i="7"/>
  <c r="H101" i="7"/>
  <c r="H100" i="7"/>
  <c r="H99" i="7"/>
  <c r="H98" i="7"/>
  <c r="H97" i="7"/>
  <c r="H96" i="7"/>
  <c r="H95" i="7"/>
  <c r="H94" i="7"/>
  <c r="H93" i="7"/>
  <c r="H92" i="7"/>
  <c r="H90" i="7"/>
  <c r="H87" i="7"/>
  <c r="H86" i="7"/>
  <c r="H84" i="7"/>
  <c r="H83" i="7"/>
  <c r="I83" i="7" s="1"/>
  <c r="H82" i="7"/>
  <c r="H81" i="7"/>
  <c r="H80" i="7"/>
  <c r="H77" i="7"/>
  <c r="H72" i="7"/>
  <c r="H70" i="7"/>
  <c r="H69" i="7"/>
  <c r="H68" i="7"/>
  <c r="H67" i="7"/>
  <c r="H60" i="7"/>
  <c r="H56" i="7"/>
  <c r="H55" i="7"/>
  <c r="H54" i="7"/>
  <c r="H53" i="7"/>
  <c r="H52" i="7"/>
  <c r="H50" i="7"/>
  <c r="H49" i="7"/>
  <c r="H48" i="7"/>
  <c r="H45" i="7"/>
  <c r="H44" i="7"/>
  <c r="H43" i="7"/>
  <c r="H42" i="7"/>
  <c r="H41" i="7"/>
  <c r="H40" i="7"/>
  <c r="H39" i="7"/>
  <c r="H38" i="7"/>
  <c r="H37" i="7"/>
  <c r="H36" i="7"/>
  <c r="H35" i="7"/>
  <c r="H34" i="7"/>
  <c r="H32" i="7"/>
  <c r="H31" i="7"/>
  <c r="H30" i="7"/>
  <c r="H28" i="7"/>
  <c r="H26" i="7"/>
  <c r="H25" i="7"/>
  <c r="H24" i="7"/>
  <c r="I165" i="7"/>
  <c r="I167" i="7"/>
  <c r="I168" i="7"/>
  <c r="I175" i="7"/>
  <c r="I177" i="7"/>
  <c r="I178" i="7"/>
  <c r="H176" i="7"/>
  <c r="I176" i="7" s="1"/>
  <c r="H134" i="7"/>
  <c r="C35" i="5"/>
  <c r="C33" i="5"/>
  <c r="C29" i="5"/>
  <c r="C27" i="5"/>
  <c r="C25" i="5"/>
  <c r="C22" i="5" s="1"/>
  <c r="C23" i="5"/>
  <c r="C19" i="5"/>
  <c r="C6" i="5" s="1"/>
  <c r="C17" i="5"/>
  <c r="C13" i="5"/>
  <c r="C11" i="5"/>
  <c r="C9" i="5"/>
  <c r="C7" i="5"/>
  <c r="J41" i="3"/>
  <c r="L28" i="3"/>
  <c r="G57" i="3"/>
  <c r="G54" i="3"/>
  <c r="G52" i="3"/>
  <c r="G46" i="3"/>
  <c r="G44" i="3"/>
  <c r="G43" i="3" s="1"/>
  <c r="G41" i="3"/>
  <c r="G40" i="3" s="1"/>
  <c r="G37" i="3"/>
  <c r="G34" i="3"/>
  <c r="G33" i="3" s="1"/>
  <c r="G31" i="3"/>
  <c r="G30" i="3" s="1"/>
  <c r="G26" i="3"/>
  <c r="G25" i="3" s="1"/>
  <c r="G21" i="3"/>
  <c r="G19" i="3"/>
  <c r="G16" i="3"/>
  <c r="G13" i="3"/>
  <c r="G149" i="3"/>
  <c r="G147" i="3"/>
  <c r="G140" i="3"/>
  <c r="G137" i="3"/>
  <c r="G135" i="3"/>
  <c r="G127" i="3"/>
  <c r="G124" i="3"/>
  <c r="G120" i="3"/>
  <c r="G119" i="3" s="1"/>
  <c r="G117" i="3"/>
  <c r="G116" i="3" s="1"/>
  <c r="G114" i="3"/>
  <c r="G113" i="3" s="1"/>
  <c r="G109" i="3"/>
  <c r="G107" i="3"/>
  <c r="G106" i="3" s="1"/>
  <c r="G98" i="3"/>
  <c r="G94" i="3"/>
  <c r="G84" i="3"/>
  <c r="G77" i="3"/>
  <c r="G72" i="3"/>
  <c r="G68" i="3"/>
  <c r="G66" i="3"/>
  <c r="G63" i="3"/>
  <c r="G29" i="7"/>
  <c r="G18" i="5"/>
  <c r="H14" i="5"/>
  <c r="H15" i="5"/>
  <c r="G14" i="5"/>
  <c r="H182" i="7"/>
  <c r="G182" i="7"/>
  <c r="I145" i="7"/>
  <c r="I183" i="7"/>
  <c r="I184" i="7"/>
  <c r="I188" i="7"/>
  <c r="I164" i="7"/>
  <c r="I160" i="7"/>
  <c r="H137" i="7"/>
  <c r="G137" i="7"/>
  <c r="I148" i="7"/>
  <c r="F147" i="7"/>
  <c r="I143" i="7"/>
  <c r="F139" i="7"/>
  <c r="I138" i="7"/>
  <c r="F137" i="7"/>
  <c r="G75" i="7"/>
  <c r="I12" i="7"/>
  <c r="G34" i="5"/>
  <c r="G36" i="5"/>
  <c r="G30" i="5"/>
  <c r="H30" i="5"/>
  <c r="K141" i="3"/>
  <c r="K139" i="3"/>
  <c r="L138" i="3"/>
  <c r="H137" i="3"/>
  <c r="I137" i="3"/>
  <c r="J137" i="3"/>
  <c r="K58" i="3"/>
  <c r="K45" i="3"/>
  <c r="K38" i="3"/>
  <c r="K36" i="3"/>
  <c r="K24" i="3"/>
  <c r="K17" i="3"/>
  <c r="K15" i="3"/>
  <c r="K14" i="3"/>
  <c r="L56" i="3"/>
  <c r="K53" i="3"/>
  <c r="K39" i="3"/>
  <c r="K42" i="3"/>
  <c r="K22" i="3"/>
  <c r="L14" i="3"/>
  <c r="L15" i="3"/>
  <c r="L17" i="3"/>
  <c r="L24" i="3"/>
  <c r="H19" i="3"/>
  <c r="I19" i="3"/>
  <c r="J19" i="3"/>
  <c r="J13" i="3"/>
  <c r="F85" i="7"/>
  <c r="F29" i="7"/>
  <c r="G146" i="3" l="1"/>
  <c r="L137" i="3"/>
  <c r="G123" i="3"/>
  <c r="G122" i="3" s="1"/>
  <c r="G181" i="7"/>
  <c r="H65" i="7"/>
  <c r="H181" i="7"/>
  <c r="H171" i="7"/>
  <c r="H154" i="7"/>
  <c r="H29" i="7"/>
  <c r="I29" i="7" s="1"/>
  <c r="I85" i="7"/>
  <c r="I186" i="7"/>
  <c r="G62" i="3"/>
  <c r="G12" i="3"/>
  <c r="G11" i="3" s="1"/>
  <c r="G71" i="3"/>
  <c r="G61" i="3" s="1"/>
  <c r="F136" i="7"/>
  <c r="I147" i="7"/>
  <c r="G136" i="7"/>
  <c r="H136" i="7"/>
  <c r="I137" i="7"/>
  <c r="I139" i="7"/>
  <c r="K137" i="3"/>
  <c r="K138" i="3"/>
  <c r="K25" i="1"/>
  <c r="K24" i="1"/>
  <c r="J25" i="1"/>
  <c r="J24" i="1"/>
  <c r="K14" i="1"/>
  <c r="K13" i="1"/>
  <c r="K11" i="1"/>
  <c r="K10" i="1"/>
  <c r="I18" i="7"/>
  <c r="I19" i="7"/>
  <c r="I20" i="7"/>
  <c r="I24" i="7"/>
  <c r="I25" i="7"/>
  <c r="I26" i="7"/>
  <c r="I27" i="7"/>
  <c r="I28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8" i="7"/>
  <c r="I49" i="7"/>
  <c r="I50" i="7"/>
  <c r="I51" i="7"/>
  <c r="I52" i="7"/>
  <c r="I53" i="7"/>
  <c r="I54" i="7"/>
  <c r="I55" i="7"/>
  <c r="I56" i="7"/>
  <c r="I59" i="7"/>
  <c r="I60" i="7"/>
  <c r="I62" i="7"/>
  <c r="I64" i="7"/>
  <c r="I66" i="7"/>
  <c r="I67" i="7"/>
  <c r="I68" i="7"/>
  <c r="I69" i="7"/>
  <c r="I70" i="7"/>
  <c r="I71" i="7"/>
  <c r="I72" i="7"/>
  <c r="I73" i="7"/>
  <c r="I76" i="7"/>
  <c r="I77" i="7"/>
  <c r="I80" i="7"/>
  <c r="I81" i="7"/>
  <c r="I82" i="7"/>
  <c r="I84" i="7"/>
  <c r="I86" i="7"/>
  <c r="I87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6" i="7"/>
  <c r="I117" i="7"/>
  <c r="I119" i="7"/>
  <c r="I123" i="7"/>
  <c r="I124" i="7"/>
  <c r="I125" i="7"/>
  <c r="I126" i="7"/>
  <c r="I127" i="7"/>
  <c r="I128" i="7"/>
  <c r="I129" i="7"/>
  <c r="I132" i="7"/>
  <c r="I133" i="7"/>
  <c r="I134" i="7"/>
  <c r="I152" i="7"/>
  <c r="I158" i="7"/>
  <c r="I163" i="7"/>
  <c r="I185" i="7"/>
  <c r="I201" i="7"/>
  <c r="I202" i="7"/>
  <c r="I204" i="7"/>
  <c r="I205" i="7"/>
  <c r="G115" i="7"/>
  <c r="F9" i="7"/>
  <c r="G8" i="7"/>
  <c r="I15" i="7"/>
  <c r="I14" i="7"/>
  <c r="I9" i="7"/>
  <c r="G17" i="7"/>
  <c r="H17" i="7"/>
  <c r="F17" i="7"/>
  <c r="F182" i="7"/>
  <c r="F181" i="7" s="1"/>
  <c r="F14" i="7" s="1"/>
  <c r="F195" i="7"/>
  <c r="F192" i="7" s="1"/>
  <c r="F171" i="7"/>
  <c r="F154" i="7"/>
  <c r="F151" i="7"/>
  <c r="F122" i="7"/>
  <c r="G120" i="7"/>
  <c r="H120" i="7"/>
  <c r="F120" i="7"/>
  <c r="G118" i="7"/>
  <c r="H118" i="7"/>
  <c r="F118" i="7"/>
  <c r="H115" i="7"/>
  <c r="F115" i="7"/>
  <c r="H79" i="7"/>
  <c r="F79" i="7"/>
  <c r="F23" i="7"/>
  <c r="H75" i="7"/>
  <c r="F75" i="7"/>
  <c r="F65" i="7"/>
  <c r="G63" i="7"/>
  <c r="H63" i="7"/>
  <c r="F63" i="7"/>
  <c r="G61" i="7"/>
  <c r="H61" i="7"/>
  <c r="F61" i="7"/>
  <c r="G57" i="7"/>
  <c r="H57" i="7"/>
  <c r="F57" i="7"/>
  <c r="G23" i="7"/>
  <c r="H23" i="7"/>
  <c r="H8" i="8"/>
  <c r="H7" i="8"/>
  <c r="G8" i="8"/>
  <c r="D7" i="8"/>
  <c r="E7" i="8"/>
  <c r="F7" i="8"/>
  <c r="F6" i="8" s="1"/>
  <c r="D6" i="8"/>
  <c r="E6" i="8"/>
  <c r="C7" i="8"/>
  <c r="C6" i="8" s="1"/>
  <c r="G24" i="5"/>
  <c r="E29" i="5"/>
  <c r="D31" i="5"/>
  <c r="D29" i="5" s="1"/>
  <c r="F27" i="5"/>
  <c r="D28" i="5"/>
  <c r="D26" i="5"/>
  <c r="D23" i="5"/>
  <c r="E23" i="5"/>
  <c r="F23" i="5"/>
  <c r="H23" i="5" s="1"/>
  <c r="D25" i="5"/>
  <c r="E25" i="5"/>
  <c r="F25" i="5"/>
  <c r="H25" i="5" s="1"/>
  <c r="D27" i="5"/>
  <c r="E27" i="5"/>
  <c r="F29" i="5"/>
  <c r="D33" i="5"/>
  <c r="E33" i="5"/>
  <c r="F33" i="5"/>
  <c r="G33" i="5" s="1"/>
  <c r="D35" i="5"/>
  <c r="E35" i="5"/>
  <c r="F35" i="5"/>
  <c r="G35" i="5" s="1"/>
  <c r="H31" i="5"/>
  <c r="G32" i="5"/>
  <c r="H34" i="5"/>
  <c r="H36" i="5"/>
  <c r="H26" i="5"/>
  <c r="H24" i="5"/>
  <c r="H20" i="5"/>
  <c r="H18" i="5"/>
  <c r="H12" i="5"/>
  <c r="H10" i="5"/>
  <c r="H8" i="5"/>
  <c r="F17" i="5"/>
  <c r="G17" i="5" s="1"/>
  <c r="E17" i="5"/>
  <c r="D17" i="5"/>
  <c r="G60" i="3" l="1"/>
  <c r="I136" i="7"/>
  <c r="I171" i="7"/>
  <c r="I63" i="7"/>
  <c r="H22" i="7"/>
  <c r="G7" i="8"/>
  <c r="H17" i="5"/>
  <c r="I192" i="7"/>
  <c r="F15" i="7"/>
  <c r="F186" i="7"/>
  <c r="I61" i="7"/>
  <c r="I122" i="7"/>
  <c r="I181" i="7"/>
  <c r="G150" i="7"/>
  <c r="I65" i="7"/>
  <c r="I118" i="7"/>
  <c r="I182" i="7"/>
  <c r="I79" i="7"/>
  <c r="F22" i="7"/>
  <c r="F10" i="7" s="1"/>
  <c r="I151" i="7"/>
  <c r="I154" i="7"/>
  <c r="I17" i="7"/>
  <c r="I23" i="7"/>
  <c r="I115" i="7"/>
  <c r="I57" i="7"/>
  <c r="I75" i="7"/>
  <c r="G6" i="8"/>
  <c r="H6" i="8"/>
  <c r="H35" i="5"/>
  <c r="I195" i="7"/>
  <c r="F78" i="7"/>
  <c r="F150" i="7"/>
  <c r="H78" i="7"/>
  <c r="H150" i="7"/>
  <c r="G78" i="7"/>
  <c r="G31" i="5"/>
  <c r="G26" i="5"/>
  <c r="G29" i="5"/>
  <c r="G27" i="5"/>
  <c r="H27" i="5"/>
  <c r="G28" i="5"/>
  <c r="H28" i="5"/>
  <c r="F22" i="5"/>
  <c r="G25" i="5"/>
  <c r="D22" i="5"/>
  <c r="E22" i="5"/>
  <c r="G23" i="5"/>
  <c r="H29" i="5"/>
  <c r="H33" i="5"/>
  <c r="G16" i="5"/>
  <c r="G8" i="5"/>
  <c r="D19" i="5"/>
  <c r="E19" i="5"/>
  <c r="F19" i="5"/>
  <c r="D7" i="5"/>
  <c r="E7" i="5"/>
  <c r="F7" i="5"/>
  <c r="D9" i="5"/>
  <c r="E9" i="5"/>
  <c r="F9" i="5"/>
  <c r="D11" i="5"/>
  <c r="E11" i="5"/>
  <c r="F11" i="5"/>
  <c r="D13" i="5"/>
  <c r="E13" i="5"/>
  <c r="F13" i="5"/>
  <c r="L148" i="3"/>
  <c r="L141" i="3"/>
  <c r="L136" i="3"/>
  <c r="L134" i="3"/>
  <c r="L133" i="3"/>
  <c r="L132" i="3"/>
  <c r="L131" i="3"/>
  <c r="L130" i="3"/>
  <c r="L129" i="3"/>
  <c r="L128" i="3"/>
  <c r="L126" i="3"/>
  <c r="L125" i="3"/>
  <c r="L121" i="3"/>
  <c r="L115" i="3"/>
  <c r="L112" i="3"/>
  <c r="L111" i="3"/>
  <c r="L110" i="3"/>
  <c r="L105" i="3"/>
  <c r="L104" i="3"/>
  <c r="L103" i="3"/>
  <c r="L102" i="3"/>
  <c r="L101" i="3"/>
  <c r="L100" i="3"/>
  <c r="L99" i="3"/>
  <c r="L95" i="3"/>
  <c r="L93" i="3"/>
  <c r="L92" i="3"/>
  <c r="L91" i="3"/>
  <c r="L90" i="3"/>
  <c r="L89" i="3"/>
  <c r="L88" i="3"/>
  <c r="L87" i="3"/>
  <c r="L86" i="3"/>
  <c r="L85" i="3"/>
  <c r="L83" i="3"/>
  <c r="L82" i="3"/>
  <c r="L81" i="3"/>
  <c r="L80" i="3"/>
  <c r="L79" i="3"/>
  <c r="L78" i="3"/>
  <c r="L76" i="3"/>
  <c r="L75" i="3"/>
  <c r="L74" i="3"/>
  <c r="L73" i="3"/>
  <c r="L70" i="3"/>
  <c r="L69" i="3"/>
  <c r="L67" i="3"/>
  <c r="L65" i="3"/>
  <c r="L64" i="3"/>
  <c r="L58" i="3"/>
  <c r="L47" i="3"/>
  <c r="L45" i="3"/>
  <c r="L42" i="3"/>
  <c r="L38" i="3"/>
  <c r="L36" i="3"/>
  <c r="L35" i="3"/>
  <c r="L32" i="3"/>
  <c r="L29" i="3"/>
  <c r="L27" i="3"/>
  <c r="K103" i="3"/>
  <c r="K101" i="3"/>
  <c r="K88" i="3"/>
  <c r="K87" i="3"/>
  <c r="K74" i="3"/>
  <c r="K32" i="3"/>
  <c r="K134" i="3"/>
  <c r="K133" i="3"/>
  <c r="K132" i="3"/>
  <c r="K130" i="3"/>
  <c r="K129" i="3"/>
  <c r="K128" i="3"/>
  <c r="K126" i="3"/>
  <c r="K125" i="3"/>
  <c r="K118" i="3"/>
  <c r="K112" i="3"/>
  <c r="K111" i="3"/>
  <c r="K110" i="3"/>
  <c r="K105" i="3"/>
  <c r="K102" i="3"/>
  <c r="K100" i="3"/>
  <c r="K99" i="3"/>
  <c r="K95" i="3"/>
  <c r="K93" i="3"/>
  <c r="K92" i="3"/>
  <c r="K91" i="3"/>
  <c r="K90" i="3"/>
  <c r="K89" i="3"/>
  <c r="K86" i="3"/>
  <c r="K85" i="3"/>
  <c r="K83" i="3"/>
  <c r="K82" i="3"/>
  <c r="K81" i="3"/>
  <c r="K80" i="3"/>
  <c r="K79" i="3"/>
  <c r="K75" i="3"/>
  <c r="K73" i="3"/>
  <c r="K70" i="3"/>
  <c r="K69" i="3"/>
  <c r="K65" i="3"/>
  <c r="K64" i="3"/>
  <c r="I140" i="3"/>
  <c r="J140" i="3"/>
  <c r="H140" i="3"/>
  <c r="I63" i="3"/>
  <c r="H149" i="3"/>
  <c r="I149" i="3"/>
  <c r="J149" i="3"/>
  <c r="H147" i="3"/>
  <c r="I147" i="3"/>
  <c r="J147" i="3"/>
  <c r="H135" i="3"/>
  <c r="I135" i="3"/>
  <c r="J135" i="3"/>
  <c r="H127" i="3"/>
  <c r="I127" i="3"/>
  <c r="J127" i="3"/>
  <c r="H124" i="3"/>
  <c r="I124" i="3"/>
  <c r="J124" i="3"/>
  <c r="H120" i="3"/>
  <c r="H119" i="3" s="1"/>
  <c r="I120" i="3"/>
  <c r="I119" i="3" s="1"/>
  <c r="J120" i="3"/>
  <c r="H117" i="3"/>
  <c r="H116" i="3" s="1"/>
  <c r="I117" i="3"/>
  <c r="I116" i="3" s="1"/>
  <c r="J117" i="3"/>
  <c r="J116" i="3" s="1"/>
  <c r="H114" i="3"/>
  <c r="H113" i="3" s="1"/>
  <c r="I114" i="3"/>
  <c r="I113" i="3" s="1"/>
  <c r="J114" i="3"/>
  <c r="J113" i="3" s="1"/>
  <c r="H109" i="3"/>
  <c r="I109" i="3"/>
  <c r="J109" i="3"/>
  <c r="H107" i="3"/>
  <c r="I107" i="3"/>
  <c r="J107" i="3"/>
  <c r="H98" i="3"/>
  <c r="I98" i="3"/>
  <c r="J98" i="3"/>
  <c r="H94" i="3"/>
  <c r="I94" i="3"/>
  <c r="J94" i="3"/>
  <c r="H84" i="3"/>
  <c r="I84" i="3"/>
  <c r="J84" i="3"/>
  <c r="H77" i="3"/>
  <c r="I77" i="3"/>
  <c r="J77" i="3"/>
  <c r="H72" i="3"/>
  <c r="I72" i="3"/>
  <c r="J72" i="3"/>
  <c r="H68" i="3"/>
  <c r="I68" i="3"/>
  <c r="J68" i="3"/>
  <c r="H66" i="3"/>
  <c r="I66" i="3"/>
  <c r="J66" i="3"/>
  <c r="H63" i="3"/>
  <c r="J63" i="3"/>
  <c r="J34" i="3"/>
  <c r="J52" i="3"/>
  <c r="I52" i="3"/>
  <c r="H52" i="3"/>
  <c r="I54" i="3"/>
  <c r="H54" i="3"/>
  <c r="J37" i="3"/>
  <c r="K37" i="3" s="1"/>
  <c r="I37" i="3"/>
  <c r="H37" i="3"/>
  <c r="I34" i="3"/>
  <c r="H34" i="3"/>
  <c r="K27" i="3"/>
  <c r="K29" i="3"/>
  <c r="J57" i="3"/>
  <c r="J54" i="3"/>
  <c r="J46" i="3"/>
  <c r="J44" i="3"/>
  <c r="J40" i="3"/>
  <c r="J31" i="3"/>
  <c r="J30" i="3" s="1"/>
  <c r="J26" i="3"/>
  <c r="J25" i="3" s="1"/>
  <c r="J21" i="3"/>
  <c r="J16" i="3"/>
  <c r="I57" i="3"/>
  <c r="I46" i="3"/>
  <c r="I44" i="3"/>
  <c r="I41" i="3"/>
  <c r="I40" i="3" s="1"/>
  <c r="I31" i="3"/>
  <c r="I30" i="3" s="1"/>
  <c r="I26" i="3"/>
  <c r="I25" i="3" s="1"/>
  <c r="I21" i="3"/>
  <c r="I16" i="3"/>
  <c r="I13" i="3"/>
  <c r="H57" i="3"/>
  <c r="H46" i="3"/>
  <c r="H44" i="3"/>
  <c r="H41" i="3"/>
  <c r="H40" i="3" s="1"/>
  <c r="H31" i="3"/>
  <c r="H30" i="3" s="1"/>
  <c r="H26" i="3"/>
  <c r="H25" i="3" s="1"/>
  <c r="H21" i="3"/>
  <c r="H16" i="3"/>
  <c r="H13" i="3"/>
  <c r="H123" i="3" l="1"/>
  <c r="L57" i="3"/>
  <c r="J123" i="3"/>
  <c r="I123" i="3"/>
  <c r="L72" i="3"/>
  <c r="G21" i="7"/>
  <c r="G16" i="7" s="1"/>
  <c r="H21" i="7"/>
  <c r="L37" i="3"/>
  <c r="L94" i="3"/>
  <c r="K57" i="3"/>
  <c r="K135" i="3"/>
  <c r="L25" i="3"/>
  <c r="K44" i="3"/>
  <c r="K140" i="3"/>
  <c r="K52" i="3"/>
  <c r="H12" i="3"/>
  <c r="K46" i="3"/>
  <c r="I12" i="3"/>
  <c r="L13" i="3"/>
  <c r="J12" i="3"/>
  <c r="L16" i="3"/>
  <c r="L54" i="3"/>
  <c r="K16" i="3"/>
  <c r="L66" i="3"/>
  <c r="L120" i="3"/>
  <c r="J146" i="3"/>
  <c r="K146" i="3" s="1"/>
  <c r="I106" i="3"/>
  <c r="H146" i="3"/>
  <c r="K40" i="3"/>
  <c r="K41" i="3"/>
  <c r="L140" i="3"/>
  <c r="L77" i="3"/>
  <c r="K68" i="3"/>
  <c r="L109" i="3"/>
  <c r="K94" i="3"/>
  <c r="L113" i="3"/>
  <c r="F11" i="7"/>
  <c r="F21" i="7"/>
  <c r="F16" i="7" s="1"/>
  <c r="I22" i="7"/>
  <c r="I13" i="7"/>
  <c r="I150" i="7"/>
  <c r="I11" i="7"/>
  <c r="I78" i="7"/>
  <c r="F13" i="7"/>
  <c r="K67" i="3"/>
  <c r="L34" i="3"/>
  <c r="L98" i="3"/>
  <c r="L31" i="3"/>
  <c r="L44" i="3"/>
  <c r="K149" i="3"/>
  <c r="L124" i="3"/>
  <c r="K124" i="3"/>
  <c r="L127" i="3"/>
  <c r="L41" i="3"/>
  <c r="L30" i="3"/>
  <c r="L40" i="3"/>
  <c r="L84" i="3"/>
  <c r="K66" i="3"/>
  <c r="J62" i="3"/>
  <c r="J119" i="3"/>
  <c r="L119" i="3" s="1"/>
  <c r="K147" i="3"/>
  <c r="K35" i="3"/>
  <c r="K148" i="3"/>
  <c r="L68" i="3"/>
  <c r="K30" i="3"/>
  <c r="I146" i="3"/>
  <c r="K98" i="3"/>
  <c r="L26" i="3"/>
  <c r="L147" i="3"/>
  <c r="K113" i="3"/>
  <c r="K84" i="3"/>
  <c r="J106" i="3"/>
  <c r="K114" i="3"/>
  <c r="K150" i="3"/>
  <c r="K109" i="3"/>
  <c r="K115" i="3"/>
  <c r="L135" i="3"/>
  <c r="L46" i="3"/>
  <c r="L63" i="3"/>
  <c r="H106" i="3"/>
  <c r="K78" i="3"/>
  <c r="L114" i="3"/>
  <c r="K63" i="3"/>
  <c r="K47" i="3"/>
  <c r="K136" i="3"/>
  <c r="K31" i="3"/>
  <c r="G22" i="5"/>
  <c r="H22" i="5"/>
  <c r="H7" i="5"/>
  <c r="G7" i="5"/>
  <c r="F6" i="5"/>
  <c r="E6" i="5"/>
  <c r="G19" i="5"/>
  <c r="G20" i="5"/>
  <c r="H13" i="5"/>
  <c r="H19" i="5"/>
  <c r="D6" i="5"/>
  <c r="H11" i="5"/>
  <c r="G10" i="5"/>
  <c r="G11" i="5"/>
  <c r="G12" i="5"/>
  <c r="H9" i="5"/>
  <c r="G13" i="5"/>
  <c r="G15" i="5"/>
  <c r="J71" i="3"/>
  <c r="H71" i="3"/>
  <c r="I71" i="3"/>
  <c r="H62" i="3"/>
  <c r="I62" i="3"/>
  <c r="K21" i="3"/>
  <c r="H33" i="3"/>
  <c r="I33" i="3"/>
  <c r="J51" i="3"/>
  <c r="J43" i="3"/>
  <c r="H51" i="3"/>
  <c r="H50" i="3" s="1"/>
  <c r="I51" i="3"/>
  <c r="I50" i="3" s="1"/>
  <c r="J33" i="3"/>
  <c r="I43" i="3"/>
  <c r="H43" i="3"/>
  <c r="K25" i="3"/>
  <c r="J14" i="1"/>
  <c r="J10" i="1"/>
  <c r="J11" i="1"/>
  <c r="H12" i="1"/>
  <c r="H15" i="1"/>
  <c r="I15" i="1"/>
  <c r="I12" i="1"/>
  <c r="G26" i="1"/>
  <c r="H23" i="1"/>
  <c r="I23" i="1"/>
  <c r="G23" i="1"/>
  <c r="I26" i="1"/>
  <c r="H26" i="1"/>
  <c r="I122" i="3" l="1"/>
  <c r="K15" i="1"/>
  <c r="H122" i="3"/>
  <c r="G51" i="3"/>
  <c r="G50" i="3" s="1"/>
  <c r="G10" i="3" s="1"/>
  <c r="L146" i="3"/>
  <c r="F8" i="7"/>
  <c r="G6" i="5"/>
  <c r="K43" i="3"/>
  <c r="L12" i="3"/>
  <c r="K12" i="3"/>
  <c r="K13" i="3"/>
  <c r="K62" i="3"/>
  <c r="K34" i="3"/>
  <c r="G15" i="1"/>
  <c r="J15" i="1" s="1"/>
  <c r="J13" i="1"/>
  <c r="K26" i="1"/>
  <c r="J26" i="1"/>
  <c r="K12" i="1"/>
  <c r="I10" i="7"/>
  <c r="H8" i="7"/>
  <c r="I8" i="7" s="1"/>
  <c r="I21" i="7"/>
  <c r="H16" i="7"/>
  <c r="I16" i="7" s="1"/>
  <c r="J61" i="3"/>
  <c r="K127" i="3"/>
  <c r="K71" i="3"/>
  <c r="K106" i="3"/>
  <c r="L106" i="3"/>
  <c r="L33" i="3"/>
  <c r="K33" i="3"/>
  <c r="L62" i="3"/>
  <c r="L43" i="3"/>
  <c r="H61" i="3"/>
  <c r="K117" i="3"/>
  <c r="K116" i="3"/>
  <c r="J50" i="3"/>
  <c r="L50" i="3" s="1"/>
  <c r="L51" i="3"/>
  <c r="L71" i="3"/>
  <c r="K72" i="3"/>
  <c r="J11" i="3"/>
  <c r="J122" i="3"/>
  <c r="K123" i="3"/>
  <c r="L123" i="3"/>
  <c r="K26" i="3"/>
  <c r="H6" i="5"/>
  <c r="G9" i="5"/>
  <c r="I61" i="3"/>
  <c r="I11" i="3"/>
  <c r="I10" i="3" s="1"/>
  <c r="H11" i="3"/>
  <c r="H10" i="3" s="1"/>
  <c r="G12" i="1"/>
  <c r="H16" i="1"/>
  <c r="H27" i="1" s="1"/>
  <c r="I16" i="1"/>
  <c r="K51" i="3" l="1"/>
  <c r="H60" i="3"/>
  <c r="L11" i="3"/>
  <c r="L61" i="3"/>
  <c r="J60" i="3"/>
  <c r="G16" i="1"/>
  <c r="G27" i="1" s="1"/>
  <c r="I60" i="3"/>
  <c r="K50" i="3"/>
  <c r="K122" i="3"/>
  <c r="L122" i="3"/>
  <c r="J10" i="3"/>
  <c r="L10" i="3" s="1"/>
  <c r="J12" i="1"/>
  <c r="I27" i="1"/>
  <c r="K16" i="1"/>
  <c r="K10" i="3" l="1"/>
  <c r="K11" i="3"/>
  <c r="L60" i="3"/>
  <c r="J16" i="1"/>
  <c r="J27" i="1"/>
  <c r="K60" i="3"/>
  <c r="K61" i="3"/>
</calcChain>
</file>

<file path=xl/sharedStrings.xml><?xml version="1.0" encoding="utf-8"?>
<sst xmlns="http://schemas.openxmlformats.org/spreadsheetml/2006/main" count="553" uniqueCount="228">
  <si>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</si>
  <si>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</si>
  <si>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</si>
  <si>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</si>
  <si>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</si>
  <si>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</si>
  <si>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</si>
  <si>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</si>
  <si>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</si>
  <si>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</si>
  <si>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</si>
  <si>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</si>
  <si>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</si>
  <si>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</si>
  <si>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</si>
  <si>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</si>
  <si>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</si>
  <si>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</si>
  <si>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</si>
  <si>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</si>
  <si>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</si>
  <si>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</si>
  <si>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</si>
  <si>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</si>
  <si>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</si>
  <si>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</si>
  <si>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</si>
  <si>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</si>
  <si>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</si>
  <si>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</si>
  <si>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</si>
  <si>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</si>
  <si>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</si>
  <si>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</si>
  <si>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</si>
  <si>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</si>
  <si>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</si>
  <si>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</si>
  <si>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</si>
  <si>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</si>
  <si>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</si>
  <si>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</si>
  <si>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</si>
  <si>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</si>
  <si>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</si>
  <si>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</si>
  <si>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</si>
  <si>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</si>
  <si>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</si>
  <si>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</si>
  <si>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</si>
  <si>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</si>
  <si>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</si>
  <si>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</si>
  <si>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</si>
  <si>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</si>
  <si>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</si>
  <si>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</si>
  <si>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</si>
  <si>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</si>
  <si>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</si>
  <si>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</si>
  <si>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</si>
  <si>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</si>
  <si>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</si>
  <si>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</si>
  <si>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</si>
  <si>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</si>
  <si>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</si>
  <si>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</si>
  <si>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</si>
  <si>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</si>
  <si>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</si>
  <si>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</si>
  <si>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</si>
  <si>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</si>
  <si>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</si>
  <si>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</si>
  <si>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</si>
  <si>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</si>
  <si>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</si>
  <si>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</si>
  <si>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</si>
  <si>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</si>
  <si>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</si>
  <si>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</si>
  <si>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</si>
  <si>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</si>
  <si>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</si>
  <si>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</si>
  <si>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</si>
  <si>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</si>
  <si>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Prihodi iz proračuna</t>
  </si>
  <si>
    <t>Prihodi iz proračuna za financiranje redovne djelatnosti proračunskih korisnika</t>
  </si>
  <si>
    <t>Prihodi za financiranje rashoda poslovanja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</si>
  <si>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</si>
  <si>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</si>
  <si>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</si>
  <si>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</si>
  <si>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</si>
  <si>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</si>
  <si>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</si>
  <si>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</si>
  <si>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</si>
  <si>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</si>
  <si>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</si>
  <si>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</si>
  <si>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</si>
  <si>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</si>
  <si>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</si>
  <si>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</si>
  <si>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</si>
  <si>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</si>
  <si>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</si>
  <si>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</si>
  <si>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</si>
  <si>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</si>
  <si>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</si>
  <si>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</si>
  <si>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</si>
  <si>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</si>
  <si>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</si>
  <si>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</si>
  <si>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</si>
  <si>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</si>
  <si>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</si>
  <si>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</si>
  <si>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</si>
  <si>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</si>
  <si>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</si>
  <si>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</si>
  <si>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</si>
  <si>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</si>
  <si>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</si>
  <si>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</si>
  <si>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</si>
  <si>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</si>
  <si>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</si>
  <si>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</si>
  <si>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</si>
  <si>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</si>
  <si>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</si>
  <si>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</si>
  <si>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izdane vrijednosne papire</t>
  </si>
  <si>
    <t>Kamate za izdane trezorske zapise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</si>
  <si>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</si>
  <si>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</si>
  <si>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</si>
  <si>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</si>
  <si>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</si>
  <si>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</si>
  <si>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</si>
  <si>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</si>
  <si>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</si>
  <si>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</si>
  <si>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</si>
  <si>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</si>
  <si>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</si>
  <si>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</si>
  <si>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</si>
  <si>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</si>
  <si>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</si>
  <si>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</si>
  <si>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</si>
  <si>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</si>
  <si>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</si>
  <si>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</si>
  <si>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</si>
  <si>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</si>
  <si>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</si>
  <si>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</si>
  <si>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</si>
  <si>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</si>
  <si>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56 Fondovi EU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</si>
  <si>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</si>
  <si>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</si>
  <si>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</si>
  <si>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</si>
  <si>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</si>
  <si>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</si>
  <si>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</si>
  <si>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</si>
  <si>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</si>
  <si>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</si>
  <si>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</si>
  <si>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</si>
  <si>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</si>
  <si>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</si>
  <si>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</si>
  <si>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</si>
  <si>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</si>
  <si>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</si>
  <si>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</si>
  <si>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</si>
  <si>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Ostali rashodi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</si>
  <si>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</si>
  <si>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</si>
  <si>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</si>
  <si>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</si>
  <si>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</si>
  <si>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>Tekuće pomoći proračunskim korisnicima iz proračuna koji im nije nadležan</t>
  </si>
  <si>
    <t>Tekuće pomoći iz državnog proračuna proračunskim korisnicima proračuna JLP(R)S</t>
  </si>
  <si>
    <t xml:space="preserve">OSTVARENJE/ IZVRŠENJE 
1.-12.2023. </t>
  </si>
  <si>
    <t>Umjetnička djela ( izložena u galerijama, muzejima i sl.)</t>
  </si>
  <si>
    <t>Muzejski izlošci i predmeti prirodnih rijetkosti</t>
  </si>
  <si>
    <t xml:space="preserve"> IZVRŠENJE 
1.-12.2023. </t>
  </si>
  <si>
    <t>6=4/2*100</t>
  </si>
  <si>
    <t>7=4/3*100</t>
  </si>
  <si>
    <t>5=4/2*100</t>
  </si>
  <si>
    <t>6=4/3*100</t>
  </si>
  <si>
    <t>Pomoći EU</t>
  </si>
  <si>
    <t>4=3/2*100</t>
  </si>
  <si>
    <t>Izvor 51</t>
  </si>
  <si>
    <t xml:space="preserve">OSTVARENJE/IZVRŠENJE 
1.-12.2023. </t>
  </si>
  <si>
    <t>IZVRŠENJE FINANCIJSKOG PLANA PRORAČUNSKOG KORISNIKA DRŽAVNOG PRORAČUNA
ZA 2024. GODINU</t>
  </si>
  <si>
    <t>IZVORNI PLAN ILI REBALANS 2024.*</t>
  </si>
  <si>
    <t xml:space="preserve">OSTVARENJE/IZVRŠENJE 1.-12.2023. </t>
  </si>
  <si>
    <t xml:space="preserve">OSTVARENJE/IZVRŠENJE 
1.-12.2024. </t>
  </si>
  <si>
    <t>Napomena : Iznosi u stupcima "OSTVARENJE/IZVRŠENJE 1.-12.2022." i "OSTVARENJE/IZVRŠENJE 1.-6. 2023." iskazuju se na dvije decimale.</t>
  </si>
  <si>
    <t xml:space="preserve">OSTVARENJE/ IZVRŠENJE 
1.-12.2024. </t>
  </si>
  <si>
    <t>Prihodi od zateznih kamate</t>
  </si>
  <si>
    <t xml:space="preserve"> IZVRŠENJE 
1.-12.2024. </t>
  </si>
  <si>
    <t>TEKUĆI PLAN 2024.*</t>
  </si>
  <si>
    <t>Ulaganja u računalne programe</t>
  </si>
  <si>
    <t>Sitan inventar i auto gume</t>
  </si>
  <si>
    <t>Umjetnička djela (izložena u galerijama, muzejima isl.)</t>
  </si>
  <si>
    <t>Nematerijalna proizvedena imovina</t>
  </si>
  <si>
    <t>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</si>
</sst>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4" fontId="5" fillId="2" borderId="3" xfId="0" applyNumberFormat="1" applyFont="1" applyFill="1" applyBorder="1"/>
    <xf numFmtId="4" fontId="8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4" fontId="20" fillId="0" borderId="3" xfId="0" applyNumberFormat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6" fillId="0" borderId="3" xfId="2" applyFont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Obično_List7" xfId="2" xr:uid="{8CF0FF99-2EF4-4C2F-90B9-8320E06B5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tabSelected="1" topLeftCell="B16" zoomScaleNormal="100" workbookViewId="0">
      <selection activeCell="I20" sqref="I20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85" t="s">
        <v>214</v>
      </c>
      <c r="C1" s="85"/>
      <c r="D1" s="85"/>
      <c r="E1" s="85"/>
      <c r="F1" s="85"/>
      <c r="G1" s="85"/>
      <c r="H1" s="85"/>
      <c r="I1" s="85"/>
      <c r="J1" s="85"/>
      <c r="K1" s="85"/>
      <c r="L1" s="24"/>
    </row>
    <row r="2" spans="2:12" ht="18" customHeight="1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2"/>
    </row>
    <row r="3" spans="2:12" ht="15.75" customHeight="1" x14ac:dyDescent="0.25">
      <c r="B3" s="85" t="s">
        <v>11</v>
      </c>
      <c r="C3" s="85"/>
      <c r="D3" s="85"/>
      <c r="E3" s="85"/>
      <c r="F3" s="85"/>
      <c r="G3" s="85"/>
      <c r="H3" s="85"/>
      <c r="I3" s="85"/>
      <c r="J3" s="85"/>
      <c r="K3" s="85"/>
      <c r="L3" s="23"/>
    </row>
    <row r="4" spans="2:12" ht="18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3"/>
    </row>
    <row r="5" spans="2:12" ht="18" customHeight="1" x14ac:dyDescent="0.2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22"/>
    </row>
    <row r="6" spans="2:12" ht="18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22"/>
    </row>
    <row r="7" spans="2:12" ht="18" customHeight="1" x14ac:dyDescent="0.25">
      <c r="B7" s="102" t="s">
        <v>72</v>
      </c>
      <c r="C7" s="102"/>
      <c r="D7" s="102"/>
      <c r="E7" s="102"/>
      <c r="F7" s="102"/>
      <c r="G7" s="45"/>
      <c r="H7" s="46"/>
      <c r="I7" s="46"/>
      <c r="J7" s="47"/>
      <c r="K7" s="47"/>
    </row>
    <row r="8" spans="2:12" ht="25.5" x14ac:dyDescent="0.25">
      <c r="B8" s="96" t="s">
        <v>7</v>
      </c>
      <c r="C8" s="96"/>
      <c r="D8" s="96"/>
      <c r="E8" s="96"/>
      <c r="F8" s="96"/>
      <c r="G8" s="83" t="s">
        <v>216</v>
      </c>
      <c r="H8" s="33" t="s">
        <v>215</v>
      </c>
      <c r="I8" s="83" t="s">
        <v>217</v>
      </c>
      <c r="J8" s="83" t="s">
        <v>28</v>
      </c>
      <c r="K8" s="83" t="s">
        <v>58</v>
      </c>
    </row>
    <row r="9" spans="2:12" x14ac:dyDescent="0.25">
      <c r="B9" s="97">
        <v>1</v>
      </c>
      <c r="C9" s="97"/>
      <c r="D9" s="97"/>
      <c r="E9" s="97"/>
      <c r="F9" s="98"/>
      <c r="G9" s="31">
        <v>2</v>
      </c>
      <c r="H9" s="30">
        <v>3</v>
      </c>
      <c r="I9" s="30">
        <v>4</v>
      </c>
      <c r="J9" s="30" t="s">
        <v>208</v>
      </c>
      <c r="K9" s="30" t="s">
        <v>209</v>
      </c>
    </row>
    <row r="10" spans="2:12" x14ac:dyDescent="0.25">
      <c r="B10" s="92" t="s">
        <v>30</v>
      </c>
      <c r="C10" s="93"/>
      <c r="D10" s="93"/>
      <c r="E10" s="93"/>
      <c r="F10" s="94"/>
      <c r="G10" s="57">
        <v>11280425.789999999</v>
      </c>
      <c r="H10" s="75">
        <v>12942143</v>
      </c>
      <c r="I10" s="75">
        <v>12311729.869999999</v>
      </c>
      <c r="J10" s="75">
        <f t="shared" ref="J10:J16" si="0">I10/G10*100</f>
        <v>109.14242156456754</v>
      </c>
      <c r="K10" s="75">
        <f>I10/H10*100</f>
        <v>95.128989611689491</v>
      </c>
    </row>
    <row r="11" spans="2:12" x14ac:dyDescent="0.25">
      <c r="B11" s="95" t="s">
        <v>29</v>
      </c>
      <c r="C11" s="94"/>
      <c r="D11" s="94"/>
      <c r="E11" s="94"/>
      <c r="F11" s="94"/>
      <c r="G11" s="57">
        <v>11820.06</v>
      </c>
      <c r="H11" s="75">
        <v>80000</v>
      </c>
      <c r="I11" s="75">
        <v>12672</v>
      </c>
      <c r="J11" s="75">
        <f t="shared" si="0"/>
        <v>107.20757762650952</v>
      </c>
      <c r="K11" s="75">
        <f>I11/H11*100</f>
        <v>15.840000000000002</v>
      </c>
    </row>
    <row r="12" spans="2:12" x14ac:dyDescent="0.25">
      <c r="B12" s="89" t="s">
        <v>0</v>
      </c>
      <c r="C12" s="90"/>
      <c r="D12" s="90"/>
      <c r="E12" s="90"/>
      <c r="F12" s="91"/>
      <c r="G12" s="53">
        <f t="shared" ref="G12" si="1">SUM(G10:G11)</f>
        <v>11292245.85</v>
      </c>
      <c r="H12" s="53">
        <f>SUM(H10:H11)</f>
        <v>13022143</v>
      </c>
      <c r="I12" s="53">
        <f>SUM(I10:I11)</f>
        <v>12324401.869999999</v>
      </c>
      <c r="J12" s="79">
        <f t="shared" si="0"/>
        <v>109.14039628352583</v>
      </c>
      <c r="K12" s="79">
        <f>I12/H12*100</f>
        <v>94.641887053459627</v>
      </c>
    </row>
    <row r="13" spans="2:12" x14ac:dyDescent="0.25">
      <c r="B13" s="101" t="s">
        <v>31</v>
      </c>
      <c r="C13" s="93"/>
      <c r="D13" s="93"/>
      <c r="E13" s="93"/>
      <c r="F13" s="93"/>
      <c r="G13" s="56">
        <v>10938347.73</v>
      </c>
      <c r="H13" s="75">
        <v>12571448</v>
      </c>
      <c r="I13" s="75">
        <v>13375130.85</v>
      </c>
      <c r="J13" s="80">
        <f t="shared" si="0"/>
        <v>122.27743330299117</v>
      </c>
      <c r="K13" s="80">
        <f t="shared" ref="K13:K14" si="2">I13/H13*100</f>
        <v>106.39292188139345</v>
      </c>
    </row>
    <row r="14" spans="2:12" x14ac:dyDescent="0.25">
      <c r="B14" s="95" t="s">
        <v>32</v>
      </c>
      <c r="C14" s="94"/>
      <c r="D14" s="94"/>
      <c r="E14" s="94"/>
      <c r="F14" s="94"/>
      <c r="G14" s="57">
        <v>388485.31</v>
      </c>
      <c r="H14" s="75">
        <v>450495</v>
      </c>
      <c r="I14" s="75">
        <v>364026.07</v>
      </c>
      <c r="J14" s="80">
        <f t="shared" si="0"/>
        <v>93.703947261223348</v>
      </c>
      <c r="K14" s="80">
        <f t="shared" si="2"/>
        <v>80.805795846790744</v>
      </c>
    </row>
    <row r="15" spans="2:12" x14ac:dyDescent="0.25">
      <c r="B15" s="17" t="s">
        <v>1</v>
      </c>
      <c r="C15" s="44"/>
      <c r="D15" s="44"/>
      <c r="E15" s="44"/>
      <c r="F15" s="44"/>
      <c r="G15" s="53">
        <f>G13+G14</f>
        <v>11326833.040000001</v>
      </c>
      <c r="H15" s="53">
        <f>SUM(H13:H14)</f>
        <v>13021943</v>
      </c>
      <c r="I15" s="53">
        <f>SUM(I13:I14)</f>
        <v>13739156.92</v>
      </c>
      <c r="J15" s="79">
        <f t="shared" si="0"/>
        <v>121.29742595729122</v>
      </c>
      <c r="K15" s="79">
        <f>I15/H15*100</f>
        <v>105.50773352333059</v>
      </c>
    </row>
    <row r="16" spans="2:12" x14ac:dyDescent="0.25">
      <c r="B16" s="100" t="s">
        <v>2</v>
      </c>
      <c r="C16" s="90"/>
      <c r="D16" s="90"/>
      <c r="E16" s="90"/>
      <c r="F16" s="90"/>
      <c r="G16" s="54">
        <f>G12-G15</f>
        <v>-34587.190000001341</v>
      </c>
      <c r="H16" s="54">
        <f>H12-H15</f>
        <v>200</v>
      </c>
      <c r="I16" s="54">
        <f t="shared" ref="I16" si="3">I12-I15</f>
        <v>-1414755.0500000007</v>
      </c>
      <c r="J16" s="79">
        <f t="shared" si="0"/>
        <v>4090.4018221773604</v>
      </c>
      <c r="K16" s="79">
        <f>I16/H16*100</f>
        <v>-707377.52500000037</v>
      </c>
    </row>
    <row r="17" spans="1:48" ht="18" x14ac:dyDescent="0.25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1"/>
    </row>
    <row r="18" spans="1:48" ht="18" customHeight="1" x14ac:dyDescent="0.25">
      <c r="B18" s="106" t="s">
        <v>67</v>
      </c>
      <c r="C18" s="106"/>
      <c r="D18" s="106"/>
      <c r="E18" s="106"/>
      <c r="F18" s="106"/>
      <c r="G18" s="45"/>
      <c r="H18" s="46"/>
      <c r="I18" s="46"/>
      <c r="J18" s="47"/>
      <c r="K18" s="47"/>
      <c r="L18" s="1"/>
    </row>
    <row r="19" spans="1:48" ht="25.5" x14ac:dyDescent="0.25">
      <c r="B19" s="96" t="s">
        <v>7</v>
      </c>
      <c r="C19" s="96"/>
      <c r="D19" s="96"/>
      <c r="E19" s="96"/>
      <c r="F19" s="96"/>
      <c r="G19" s="83" t="s">
        <v>213</v>
      </c>
      <c r="H19" s="33" t="s">
        <v>215</v>
      </c>
      <c r="I19" s="33" t="s">
        <v>217</v>
      </c>
      <c r="J19" s="33" t="s">
        <v>28</v>
      </c>
      <c r="K19" s="33" t="s">
        <v>58</v>
      </c>
    </row>
    <row r="20" spans="1:48" x14ac:dyDescent="0.25">
      <c r="B20" s="107">
        <v>1</v>
      </c>
      <c r="C20" s="108"/>
      <c r="D20" s="108"/>
      <c r="E20" s="108"/>
      <c r="F20" s="108"/>
      <c r="G20" s="32">
        <v>2</v>
      </c>
      <c r="H20" s="30">
        <v>3</v>
      </c>
      <c r="I20" s="30">
        <v>4</v>
      </c>
      <c r="J20" s="30" t="s">
        <v>208</v>
      </c>
      <c r="K20" s="30" t="s">
        <v>209</v>
      </c>
    </row>
    <row r="21" spans="1:48" ht="15.75" customHeight="1" x14ac:dyDescent="0.25">
      <c r="B21" s="92" t="s">
        <v>33</v>
      </c>
      <c r="C21" s="109"/>
      <c r="D21" s="109"/>
      <c r="E21" s="109"/>
      <c r="F21" s="109"/>
      <c r="G21" s="26"/>
      <c r="H21" s="16"/>
      <c r="I21" s="75"/>
      <c r="J21" s="75"/>
      <c r="K21" s="75"/>
    </row>
    <row r="22" spans="1:48" x14ac:dyDescent="0.25">
      <c r="B22" s="92" t="s">
        <v>34</v>
      </c>
      <c r="C22" s="93"/>
      <c r="D22" s="93"/>
      <c r="E22" s="93"/>
      <c r="F22" s="93"/>
      <c r="G22" s="25"/>
      <c r="H22" s="16"/>
      <c r="I22" s="75"/>
      <c r="J22" s="75"/>
      <c r="K22" s="75"/>
    </row>
    <row r="23" spans="1:48" ht="15" customHeight="1" x14ac:dyDescent="0.25">
      <c r="B23" s="103" t="s">
        <v>59</v>
      </c>
      <c r="C23" s="104"/>
      <c r="D23" s="104"/>
      <c r="E23" s="104"/>
      <c r="F23" s="105"/>
      <c r="G23" s="53">
        <f>G21-G22</f>
        <v>0</v>
      </c>
      <c r="H23" s="53">
        <f t="shared" ref="H23:I23" si="4">H21-H22</f>
        <v>0</v>
      </c>
      <c r="I23" s="53">
        <f t="shared" si="4"/>
        <v>0</v>
      </c>
      <c r="J23" s="79"/>
      <c r="K23" s="79"/>
    </row>
    <row r="24" spans="1:48" s="34" customFormat="1" ht="15" customHeight="1" x14ac:dyDescent="0.25">
      <c r="A24"/>
      <c r="B24" s="92" t="s">
        <v>17</v>
      </c>
      <c r="C24" s="93"/>
      <c r="D24" s="93"/>
      <c r="E24" s="93"/>
      <c r="F24" s="93"/>
      <c r="G24" s="56">
        <v>5057794.68</v>
      </c>
      <c r="H24" s="75">
        <v>5023207.49</v>
      </c>
      <c r="I24" s="75">
        <v>5023207.49</v>
      </c>
      <c r="J24" s="75">
        <f>I24/G24*100</f>
        <v>99.3161606552206</v>
      </c>
      <c r="K24" s="75">
        <f t="shared" ref="K24:K26" si="5">I24/H24*100</f>
        <v>100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4" customFormat="1" ht="15" customHeight="1" x14ac:dyDescent="0.25">
      <c r="A25"/>
      <c r="B25" s="92" t="s">
        <v>66</v>
      </c>
      <c r="C25" s="93"/>
      <c r="D25" s="93"/>
      <c r="E25" s="93"/>
      <c r="F25" s="93"/>
      <c r="G25" s="56">
        <v>-5023207.49</v>
      </c>
      <c r="H25" s="75">
        <v>-5023407.49</v>
      </c>
      <c r="I25" s="75">
        <v>-3608452.44</v>
      </c>
      <c r="J25" s="75">
        <f>I25/G25*100</f>
        <v>71.835623895360925</v>
      </c>
      <c r="K25" s="75">
        <f t="shared" si="5"/>
        <v>71.832763859656552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43" customFormat="1" x14ac:dyDescent="0.25">
      <c r="A26" s="42"/>
      <c r="B26" s="103" t="s">
        <v>68</v>
      </c>
      <c r="C26" s="104"/>
      <c r="D26" s="104"/>
      <c r="E26" s="104"/>
      <c r="F26" s="105"/>
      <c r="G26" s="53">
        <f>G24+G25</f>
        <v>34587.189999999478</v>
      </c>
      <c r="H26" s="53">
        <f t="shared" ref="H26" si="6">H24+H25</f>
        <v>-200</v>
      </c>
      <c r="I26" s="53">
        <f t="shared" ref="I26" si="7">I24+I25</f>
        <v>1414755.0500000003</v>
      </c>
      <c r="J26" s="79">
        <f>I26/G26*100</f>
        <v>4090.4018221775791</v>
      </c>
      <c r="K26" s="79">
        <f t="shared" si="5"/>
        <v>-707377.52500000014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</row>
    <row r="27" spans="1:48" x14ac:dyDescent="0.25">
      <c r="B27" s="99" t="s">
        <v>69</v>
      </c>
      <c r="C27" s="99"/>
      <c r="D27" s="99"/>
      <c r="E27" s="99"/>
      <c r="F27" s="99"/>
      <c r="G27" s="55">
        <f>G16+G26</f>
        <v>-1.862645149230957E-9</v>
      </c>
      <c r="H27" s="55">
        <f t="shared" ref="H27:I27" si="8">H16+H26</f>
        <v>0</v>
      </c>
      <c r="I27" s="55">
        <f t="shared" si="8"/>
        <v>0</v>
      </c>
      <c r="J27" s="79">
        <f>I27/G27*100</f>
        <v>0</v>
      </c>
      <c r="K27" s="79"/>
    </row>
    <row r="29" spans="1:48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48" x14ac:dyDescent="0.25">
      <c r="B30" s="87" t="s">
        <v>70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48" ht="15" customHeight="1" x14ac:dyDescent="0.25">
      <c r="B31" s="87" t="s">
        <v>218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48" ht="15" customHeight="1" x14ac:dyDescent="0.25">
      <c r="B32" s="87" t="s">
        <v>64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2:11" ht="36.75" customHeight="1" x14ac:dyDescent="0.25"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2:11" ht="15" customHeight="1" x14ac:dyDescent="0.25">
      <c r="B34" s="88" t="s">
        <v>71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x14ac:dyDescent="0.25">
      <c r="B35" s="88"/>
      <c r="C35" s="88"/>
      <c r="D35" s="88"/>
      <c r="E35" s="88"/>
      <c r="F35" s="88"/>
      <c r="G35" s="88"/>
      <c r="H35" s="88"/>
      <c r="I35" s="88"/>
      <c r="J35" s="88"/>
      <c r="K35" s="88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K1"/>
    <mergeCell ref="B32:K33"/>
    <mergeCell ref="B34:K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K30"/>
    <mergeCell ref="B31:K31"/>
    <mergeCell ref="B7:F7"/>
    <mergeCell ref="B2:K2"/>
    <mergeCell ref="B4:K4"/>
    <mergeCell ref="B6:K6"/>
    <mergeCell ref="B17:K17"/>
    <mergeCell ref="B5:K5"/>
    <mergeCell ref="B3:K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56"/>
  <sheetViews>
    <sheetView topLeftCell="A130" zoomScale="90" zoomScaleNormal="90" workbookViewId="0">
      <selection activeCell="R145" sqref="R14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19.7109375" customWidth="1"/>
    <col min="8" max="8" width="19.7109375" hidden="1" customWidth="1"/>
    <col min="9" max="9" width="19.7109375" customWidth="1"/>
    <col min="10" max="10" width="21.42578125" customWidth="1"/>
    <col min="11" max="11" width="12.85546875" customWidth="1"/>
    <col min="12" max="12" width="12.5703125" customWidth="1"/>
  </cols>
  <sheetData>
    <row r="1" spans="2:12" ht="9.75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ht="15.75" customHeight="1" x14ac:dyDescent="0.25">
      <c r="B2" s="85" t="s">
        <v>11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ht="6" customHeight="1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2:12" ht="15.75" customHeight="1" x14ac:dyDescent="0.25">
      <c r="B4" s="85" t="s">
        <v>63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12" ht="9" customHeight="1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2:12" ht="15.75" customHeight="1" x14ac:dyDescent="0.25">
      <c r="B6" s="85" t="s">
        <v>43</v>
      </c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2:12" ht="10.5" customHeight="1" x14ac:dyDescent="0.2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2" ht="39" customHeight="1" x14ac:dyDescent="0.25">
      <c r="B8" s="110" t="s">
        <v>7</v>
      </c>
      <c r="C8" s="111"/>
      <c r="D8" s="111"/>
      <c r="E8" s="111"/>
      <c r="F8" s="112"/>
      <c r="G8" s="33" t="s">
        <v>202</v>
      </c>
      <c r="H8" s="33" t="s">
        <v>60</v>
      </c>
      <c r="I8" s="33" t="s">
        <v>215</v>
      </c>
      <c r="J8" s="33" t="s">
        <v>219</v>
      </c>
      <c r="K8" s="33" t="s">
        <v>28</v>
      </c>
      <c r="L8" s="33" t="s">
        <v>58</v>
      </c>
    </row>
    <row r="9" spans="2:12" x14ac:dyDescent="0.25">
      <c r="B9" s="113">
        <v>1</v>
      </c>
      <c r="C9" s="114"/>
      <c r="D9" s="114"/>
      <c r="E9" s="114"/>
      <c r="F9" s="115"/>
      <c r="G9" s="35">
        <v>2</v>
      </c>
      <c r="H9" s="35">
        <v>3</v>
      </c>
      <c r="I9" s="35">
        <v>3</v>
      </c>
      <c r="J9" s="35">
        <v>4</v>
      </c>
      <c r="K9" s="35" t="s">
        <v>208</v>
      </c>
      <c r="L9" s="35" t="s">
        <v>209</v>
      </c>
    </row>
    <row r="10" spans="2:12" x14ac:dyDescent="0.25">
      <c r="B10" s="6"/>
      <c r="C10" s="6"/>
      <c r="D10" s="6"/>
      <c r="E10" s="6"/>
      <c r="F10" s="6" t="s">
        <v>56</v>
      </c>
      <c r="G10" s="64">
        <f>SUM(G11,G50)</f>
        <v>11292245.85</v>
      </c>
      <c r="H10" s="76">
        <f>SUM(H11,H50)</f>
        <v>11340284</v>
      </c>
      <c r="I10" s="76">
        <f>SUM(I11,I50)</f>
        <v>13022143</v>
      </c>
      <c r="J10" s="64">
        <f>SUM(J11,J50)</f>
        <v>12324401.870000001</v>
      </c>
      <c r="K10" s="65">
        <f>J10/G10*100</f>
        <v>109.14039628352586</v>
      </c>
      <c r="L10" s="65">
        <f>J10/I10*100</f>
        <v>94.641887053459641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61">
        <f>SUM(G12,G25,G30,G33,G40,G43)</f>
        <v>11280425.789999999</v>
      </c>
      <c r="H11" s="61">
        <f>SUM(H12,H25,H30,H33,H40,H43)</f>
        <v>11247378</v>
      </c>
      <c r="I11" s="61">
        <f>SUM(I12,I25,I30,I33,I40,I43)</f>
        <v>12942143</v>
      </c>
      <c r="J11" s="61">
        <f>SUM(J12,J25,J30,J33,J40,J43)</f>
        <v>12311729.870000001</v>
      </c>
      <c r="K11" s="65">
        <f t="shared" ref="K11:K25" si="0">J11/G11*100</f>
        <v>109.14242156456757</v>
      </c>
      <c r="L11" s="65">
        <f t="shared" ref="L11:L25" si="1">J11/I11*100</f>
        <v>95.128989611689505</v>
      </c>
    </row>
    <row r="12" spans="2:12" ht="25.5" x14ac:dyDescent="0.25">
      <c r="B12" s="6"/>
      <c r="C12" s="6">
        <v>63</v>
      </c>
      <c r="D12" s="10"/>
      <c r="E12" s="10"/>
      <c r="F12" s="10" t="s">
        <v>15</v>
      </c>
      <c r="G12" s="73">
        <f t="shared" ref="G12" si="2">SUM(G13,G16,G19,G21)</f>
        <v>259298.97</v>
      </c>
      <c r="H12" s="73">
        <f t="shared" ref="H12:J12" si="3">SUM(H13,H16,H19,H21)</f>
        <v>343027</v>
      </c>
      <c r="I12" s="73">
        <f t="shared" si="3"/>
        <v>519798</v>
      </c>
      <c r="J12" s="73">
        <f t="shared" si="3"/>
        <v>468282.62000000005</v>
      </c>
      <c r="K12" s="65">
        <f t="shared" si="0"/>
        <v>180.59563445238521</v>
      </c>
      <c r="L12" s="65">
        <f t="shared" si="1"/>
        <v>90.089346246041742</v>
      </c>
    </row>
    <row r="13" spans="2:12" x14ac:dyDescent="0.25">
      <c r="B13" s="7"/>
      <c r="C13" s="7"/>
      <c r="D13" s="7">
        <v>632</v>
      </c>
      <c r="E13" s="7"/>
      <c r="F13" s="58" t="s">
        <v>73</v>
      </c>
      <c r="G13" s="60">
        <f>SUM(G14:G15)</f>
        <v>92944.450000000012</v>
      </c>
      <c r="H13" s="73">
        <f>SUM(H14:H15)</f>
        <v>0</v>
      </c>
      <c r="I13" s="73">
        <f>SUM(I14:I15)</f>
        <v>103480</v>
      </c>
      <c r="J13" s="60">
        <f>SUM(J14:J15)</f>
        <v>800</v>
      </c>
      <c r="K13" s="65">
        <f t="shared" si="0"/>
        <v>0.86072917748181832</v>
      </c>
      <c r="L13" s="65">
        <f t="shared" si="1"/>
        <v>0.7730962504831852</v>
      </c>
    </row>
    <row r="14" spans="2:12" x14ac:dyDescent="0.25">
      <c r="B14" s="7"/>
      <c r="C14" s="7"/>
      <c r="D14" s="7"/>
      <c r="E14" s="7">
        <v>6323</v>
      </c>
      <c r="F14" s="58" t="s">
        <v>74</v>
      </c>
      <c r="G14" s="60">
        <v>92628.96</v>
      </c>
      <c r="H14" s="73">
        <v>0</v>
      </c>
      <c r="I14" s="73">
        <v>83880</v>
      </c>
      <c r="J14" s="60">
        <v>800</v>
      </c>
      <c r="K14" s="65">
        <f t="shared" si="0"/>
        <v>0.86366078168210025</v>
      </c>
      <c r="L14" s="65">
        <f t="shared" si="1"/>
        <v>0.95374344301382918</v>
      </c>
    </row>
    <row r="15" spans="2:12" x14ac:dyDescent="0.25">
      <c r="B15" s="7"/>
      <c r="C15" s="7"/>
      <c r="D15" s="7"/>
      <c r="E15" s="7">
        <v>6324</v>
      </c>
      <c r="F15" s="58" t="s">
        <v>75</v>
      </c>
      <c r="G15" s="60">
        <v>315.49</v>
      </c>
      <c r="H15" s="73">
        <v>0</v>
      </c>
      <c r="I15" s="73">
        <v>19600</v>
      </c>
      <c r="J15" s="60">
        <v>0</v>
      </c>
      <c r="K15" s="65">
        <f t="shared" si="0"/>
        <v>0</v>
      </c>
      <c r="L15" s="65">
        <f t="shared" si="1"/>
        <v>0</v>
      </c>
    </row>
    <row r="16" spans="2:12" x14ac:dyDescent="0.25">
      <c r="B16" s="7"/>
      <c r="C16" s="7"/>
      <c r="D16" s="7">
        <v>634</v>
      </c>
      <c r="E16" s="7"/>
      <c r="F16" s="58" t="s">
        <v>76</v>
      </c>
      <c r="G16" s="60">
        <f>SUM(G17:G18)</f>
        <v>36782.17</v>
      </c>
      <c r="H16" s="73">
        <f>SUM(H17:H18)</f>
        <v>248458</v>
      </c>
      <c r="I16" s="73">
        <f>SUM(I17:I18)</f>
        <v>304718</v>
      </c>
      <c r="J16" s="60">
        <f>SUM(J17:J18)</f>
        <v>328981.72000000003</v>
      </c>
      <c r="K16" s="65">
        <f t="shared" si="0"/>
        <v>894.40541436244803</v>
      </c>
      <c r="L16" s="65">
        <f t="shared" si="1"/>
        <v>107.96268024862331</v>
      </c>
    </row>
    <row r="17" spans="2:12" x14ac:dyDescent="0.25">
      <c r="B17" s="7"/>
      <c r="C17" s="7"/>
      <c r="D17" s="7"/>
      <c r="E17" s="7">
        <v>6341</v>
      </c>
      <c r="F17" s="58" t="s">
        <v>77</v>
      </c>
      <c r="G17" s="60">
        <v>36782.17</v>
      </c>
      <c r="H17" s="73">
        <v>248458</v>
      </c>
      <c r="I17" s="73">
        <v>301038</v>
      </c>
      <c r="J17" s="60">
        <v>327572.46000000002</v>
      </c>
      <c r="K17" s="65">
        <f t="shared" si="0"/>
        <v>890.57404715382484</v>
      </c>
      <c r="L17" s="65">
        <f t="shared" si="1"/>
        <v>108.81432244434259</v>
      </c>
    </row>
    <row r="18" spans="2:12" x14ac:dyDescent="0.25">
      <c r="B18" s="7"/>
      <c r="C18" s="7"/>
      <c r="D18" s="7"/>
      <c r="E18" s="7">
        <v>6342</v>
      </c>
      <c r="F18" s="58" t="s">
        <v>78</v>
      </c>
      <c r="G18" s="60">
        <v>0</v>
      </c>
      <c r="H18" s="73"/>
      <c r="I18" s="73">
        <v>3680</v>
      </c>
      <c r="J18" s="60">
        <v>1409.26</v>
      </c>
      <c r="K18" s="65"/>
      <c r="L18" s="65">
        <f t="shared" si="1"/>
        <v>38.295108695652175</v>
      </c>
    </row>
    <row r="19" spans="2:12" ht="25.5" x14ac:dyDescent="0.25">
      <c r="B19" s="7"/>
      <c r="C19" s="7"/>
      <c r="D19" s="7">
        <v>636</v>
      </c>
      <c r="E19" s="7"/>
      <c r="F19" s="82" t="s">
        <v>200</v>
      </c>
      <c r="G19" s="73">
        <f t="shared" ref="G19:J19" si="4">SUM(G20)</f>
        <v>5000</v>
      </c>
      <c r="H19" s="73">
        <f t="shared" si="4"/>
        <v>0</v>
      </c>
      <c r="I19" s="73">
        <f t="shared" si="4"/>
        <v>0</v>
      </c>
      <c r="J19" s="73">
        <f t="shared" si="4"/>
        <v>0</v>
      </c>
      <c r="K19" s="65">
        <f t="shared" si="0"/>
        <v>0</v>
      </c>
      <c r="L19" s="65"/>
    </row>
    <row r="20" spans="2:12" ht="25.5" x14ac:dyDescent="0.25">
      <c r="B20" s="7"/>
      <c r="C20" s="7"/>
      <c r="D20" s="7"/>
      <c r="E20" s="7">
        <v>6361</v>
      </c>
      <c r="F20" s="82" t="s">
        <v>201</v>
      </c>
      <c r="G20" s="60">
        <v>5000</v>
      </c>
      <c r="H20" s="73"/>
      <c r="I20" s="73">
        <v>0</v>
      </c>
      <c r="J20" s="60">
        <v>0</v>
      </c>
      <c r="K20" s="65">
        <f t="shared" si="0"/>
        <v>0</v>
      </c>
      <c r="L20" s="65"/>
    </row>
    <row r="21" spans="2:12" x14ac:dyDescent="0.25">
      <c r="B21" s="7"/>
      <c r="C21" s="7"/>
      <c r="D21" s="7">
        <v>639</v>
      </c>
      <c r="E21" s="7"/>
      <c r="F21" s="58" t="s">
        <v>79</v>
      </c>
      <c r="G21" s="60">
        <f>SUM(G22:G24)</f>
        <v>124572.35</v>
      </c>
      <c r="H21" s="73">
        <f>SUM(H22:H24)</f>
        <v>94569</v>
      </c>
      <c r="I21" s="73">
        <f>SUM(I22:I24)</f>
        <v>111600</v>
      </c>
      <c r="J21" s="60">
        <f>SUM(J22:J24)</f>
        <v>138500.90000000002</v>
      </c>
      <c r="K21" s="65">
        <f t="shared" si="0"/>
        <v>111.1810927545318</v>
      </c>
      <c r="L21" s="65">
        <f t="shared" si="1"/>
        <v>124.10474910394267</v>
      </c>
    </row>
    <row r="22" spans="2:12" x14ac:dyDescent="0.25">
      <c r="B22" s="7"/>
      <c r="C22" s="7"/>
      <c r="D22" s="7"/>
      <c r="E22" s="7">
        <v>6391</v>
      </c>
      <c r="F22" s="58" t="s">
        <v>80</v>
      </c>
      <c r="G22" s="60">
        <v>37688.79</v>
      </c>
      <c r="H22" s="73">
        <v>42691</v>
      </c>
      <c r="I22" s="73">
        <v>48050</v>
      </c>
      <c r="J22" s="60">
        <v>45360.54</v>
      </c>
      <c r="K22" s="65">
        <f t="shared" si="0"/>
        <v>120.35552215924153</v>
      </c>
      <c r="L22" s="65">
        <f t="shared" si="1"/>
        <v>94.40278876170656</v>
      </c>
    </row>
    <row r="23" spans="2:12" x14ac:dyDescent="0.25">
      <c r="B23" s="7"/>
      <c r="C23" s="7"/>
      <c r="D23" s="7"/>
      <c r="E23" s="7">
        <v>6392</v>
      </c>
      <c r="F23" s="58" t="s">
        <v>81</v>
      </c>
      <c r="G23" s="60">
        <v>53982.62</v>
      </c>
      <c r="H23" s="73">
        <v>41378</v>
      </c>
      <c r="I23" s="73">
        <v>53900</v>
      </c>
      <c r="J23" s="60">
        <v>68921.600000000006</v>
      </c>
      <c r="K23" s="65"/>
      <c r="L23" s="65">
        <f t="shared" si="1"/>
        <v>127.86938775510205</v>
      </c>
    </row>
    <row r="24" spans="2:12" x14ac:dyDescent="0.25">
      <c r="B24" s="7"/>
      <c r="C24" s="7"/>
      <c r="D24" s="7"/>
      <c r="E24" s="7">
        <v>6393</v>
      </c>
      <c r="F24" s="58" t="s">
        <v>82</v>
      </c>
      <c r="G24" s="60">
        <v>32900.94</v>
      </c>
      <c r="H24" s="73">
        <v>10500</v>
      </c>
      <c r="I24" s="73">
        <v>9650</v>
      </c>
      <c r="J24" s="60">
        <v>24218.76</v>
      </c>
      <c r="K24" s="65">
        <f t="shared" si="0"/>
        <v>73.611149103946559</v>
      </c>
      <c r="L24" s="65">
        <f t="shared" si="1"/>
        <v>250.97160621761657</v>
      </c>
    </row>
    <row r="25" spans="2:12" x14ac:dyDescent="0.25">
      <c r="B25" s="7"/>
      <c r="C25" s="15">
        <v>64</v>
      </c>
      <c r="D25" s="7"/>
      <c r="E25" s="7"/>
      <c r="F25" s="58" t="s">
        <v>83</v>
      </c>
      <c r="G25" s="60">
        <f>SUM(G26)</f>
        <v>627.62</v>
      </c>
      <c r="H25" s="73">
        <f>SUM(H26)</f>
        <v>6636</v>
      </c>
      <c r="I25" s="73">
        <f>SUM(I26)</f>
        <v>2150</v>
      </c>
      <c r="J25" s="60">
        <f>SUM(J26)</f>
        <v>1349.18</v>
      </c>
      <c r="K25" s="65">
        <f t="shared" si="0"/>
        <v>214.96765558777605</v>
      </c>
      <c r="L25" s="65">
        <f t="shared" si="1"/>
        <v>62.752558139534884</v>
      </c>
    </row>
    <row r="26" spans="2:12" x14ac:dyDescent="0.25">
      <c r="B26" s="7"/>
      <c r="C26" s="15"/>
      <c r="D26" s="7">
        <v>641</v>
      </c>
      <c r="E26" s="7"/>
      <c r="F26" s="58" t="s">
        <v>84</v>
      </c>
      <c r="G26" s="60">
        <f>SUM(G27:G29)</f>
        <v>627.62</v>
      </c>
      <c r="H26" s="73">
        <f>SUM(H27:H29)</f>
        <v>6636</v>
      </c>
      <c r="I26" s="73">
        <f>SUM(I27:I29)</f>
        <v>2150</v>
      </c>
      <c r="J26" s="60">
        <f>SUM(J27:J29)</f>
        <v>1349.18</v>
      </c>
      <c r="K26" s="65">
        <f t="shared" ref="K26:K58" si="5">J26/G26*100</f>
        <v>214.96765558777605</v>
      </c>
      <c r="L26" s="65">
        <f t="shared" ref="L26:L58" si="6">J26/I26*100</f>
        <v>62.752558139534884</v>
      </c>
    </row>
    <row r="27" spans="2:12" x14ac:dyDescent="0.25">
      <c r="B27" s="7"/>
      <c r="C27" s="15"/>
      <c r="D27" s="7"/>
      <c r="E27" s="7">
        <v>6413</v>
      </c>
      <c r="F27" s="58" t="s">
        <v>85</v>
      </c>
      <c r="G27" s="60">
        <v>191.51</v>
      </c>
      <c r="H27" s="73">
        <v>3318</v>
      </c>
      <c r="I27" s="73">
        <v>1000</v>
      </c>
      <c r="J27" s="60">
        <v>150.63</v>
      </c>
      <c r="K27" s="65">
        <f t="shared" si="5"/>
        <v>78.653856195498932</v>
      </c>
      <c r="L27" s="65">
        <f t="shared" si="6"/>
        <v>15.062999999999999</v>
      </c>
    </row>
    <row r="28" spans="2:12" x14ac:dyDescent="0.25">
      <c r="B28" s="7"/>
      <c r="C28" s="15"/>
      <c r="D28" s="7"/>
      <c r="E28" s="7">
        <v>6414</v>
      </c>
      <c r="F28" s="58" t="s">
        <v>220</v>
      </c>
      <c r="G28" s="60">
        <v>0</v>
      </c>
      <c r="H28" s="73"/>
      <c r="I28" s="73">
        <v>1000</v>
      </c>
      <c r="J28" s="60">
        <v>608.08000000000004</v>
      </c>
      <c r="K28" s="65"/>
      <c r="L28" s="65">
        <f t="shared" si="6"/>
        <v>60.808000000000007</v>
      </c>
    </row>
    <row r="29" spans="2:12" x14ac:dyDescent="0.25">
      <c r="B29" s="7"/>
      <c r="C29" s="15"/>
      <c r="D29" s="7"/>
      <c r="E29" s="7">
        <v>6415</v>
      </c>
      <c r="F29" s="58" t="s">
        <v>86</v>
      </c>
      <c r="G29" s="60">
        <v>436.11</v>
      </c>
      <c r="H29" s="73">
        <v>3318</v>
      </c>
      <c r="I29" s="73">
        <v>150</v>
      </c>
      <c r="J29" s="60">
        <v>590.47</v>
      </c>
      <c r="K29" s="65">
        <f t="shared" si="5"/>
        <v>135.39473985920984</v>
      </c>
      <c r="L29" s="65">
        <f t="shared" si="6"/>
        <v>393.6466666666667</v>
      </c>
    </row>
    <row r="30" spans="2:12" x14ac:dyDescent="0.25">
      <c r="B30" s="7"/>
      <c r="C30" s="15">
        <v>65</v>
      </c>
      <c r="D30" s="7"/>
      <c r="E30" s="7"/>
      <c r="F30" s="58" t="s">
        <v>87</v>
      </c>
      <c r="G30" s="60">
        <f>G31</f>
        <v>4147101.67</v>
      </c>
      <c r="H30" s="73">
        <f>H31</f>
        <v>4231890</v>
      </c>
      <c r="I30" s="73">
        <f>I31</f>
        <v>4282500</v>
      </c>
      <c r="J30" s="60">
        <f>J31</f>
        <v>4183618.99</v>
      </c>
      <c r="K30" s="65">
        <f t="shared" si="5"/>
        <v>100.88055039171491</v>
      </c>
      <c r="L30" s="65">
        <f t="shared" si="6"/>
        <v>97.691044716870991</v>
      </c>
    </row>
    <row r="31" spans="2:12" x14ac:dyDescent="0.25">
      <c r="B31" s="7"/>
      <c r="C31" s="15"/>
      <c r="D31" s="7">
        <v>652</v>
      </c>
      <c r="E31" s="7"/>
      <c r="F31" s="58" t="s">
        <v>88</v>
      </c>
      <c r="G31" s="60">
        <f>SUM(G32)</f>
        <v>4147101.67</v>
      </c>
      <c r="H31" s="73">
        <f>SUM(H32)</f>
        <v>4231890</v>
      </c>
      <c r="I31" s="73">
        <f>SUM(I32)</f>
        <v>4282500</v>
      </c>
      <c r="J31" s="60">
        <f>SUM(J32)</f>
        <v>4183618.99</v>
      </c>
      <c r="K31" s="65">
        <f t="shared" si="5"/>
        <v>100.88055039171491</v>
      </c>
      <c r="L31" s="65">
        <f t="shared" si="6"/>
        <v>97.691044716870991</v>
      </c>
    </row>
    <row r="32" spans="2:12" x14ac:dyDescent="0.25">
      <c r="B32" s="7"/>
      <c r="C32" s="15"/>
      <c r="D32" s="7"/>
      <c r="E32" s="7">
        <v>6526</v>
      </c>
      <c r="F32" s="58" t="s">
        <v>89</v>
      </c>
      <c r="G32" s="60">
        <v>4147101.67</v>
      </c>
      <c r="H32" s="73">
        <v>4231890</v>
      </c>
      <c r="I32" s="73">
        <v>4282500</v>
      </c>
      <c r="J32" s="60">
        <v>4183618.99</v>
      </c>
      <c r="K32" s="65">
        <f t="shared" si="5"/>
        <v>100.88055039171491</v>
      </c>
      <c r="L32" s="65">
        <f t="shared" si="6"/>
        <v>97.691044716870991</v>
      </c>
    </row>
    <row r="33" spans="2:12" x14ac:dyDescent="0.25">
      <c r="B33" s="7"/>
      <c r="C33" s="15">
        <v>66</v>
      </c>
      <c r="D33" s="8"/>
      <c r="E33" s="8"/>
      <c r="F33" s="58" t="s">
        <v>90</v>
      </c>
      <c r="G33" s="60">
        <f>SUM(G34,G37)</f>
        <v>6591638.7599999998</v>
      </c>
      <c r="H33" s="73">
        <f>SUM(H34,H37)</f>
        <v>6367582</v>
      </c>
      <c r="I33" s="73">
        <f>SUM(I34,I37)</f>
        <v>7357695</v>
      </c>
      <c r="J33" s="60">
        <f>SUM(J34,J37)</f>
        <v>6879034.0300000003</v>
      </c>
      <c r="K33" s="65">
        <f t="shared" si="5"/>
        <v>104.35999727023876</v>
      </c>
      <c r="L33" s="65">
        <f t="shared" si="6"/>
        <v>93.494416797651979</v>
      </c>
    </row>
    <row r="34" spans="2:12" x14ac:dyDescent="0.25">
      <c r="B34" s="7"/>
      <c r="C34" s="15"/>
      <c r="D34" s="8">
        <v>661</v>
      </c>
      <c r="E34" s="8"/>
      <c r="F34" s="58" t="s">
        <v>35</v>
      </c>
      <c r="G34" s="60">
        <f>SUM(G35:G36)</f>
        <v>6585064.1799999997</v>
      </c>
      <c r="H34" s="73">
        <f>SUM(H35:H36)</f>
        <v>6364059</v>
      </c>
      <c r="I34" s="73">
        <f>SUM(I35:I36)</f>
        <v>7357000</v>
      </c>
      <c r="J34" s="60">
        <f>SUM(J35:J36)</f>
        <v>6873539.1299999999</v>
      </c>
      <c r="K34" s="65">
        <f t="shared" si="5"/>
        <v>104.38074621772328</v>
      </c>
      <c r="L34" s="65">
        <f t="shared" si="6"/>
        <v>93.428559603099089</v>
      </c>
    </row>
    <row r="35" spans="2:12" x14ac:dyDescent="0.25">
      <c r="B35" s="7"/>
      <c r="C35" s="15"/>
      <c r="D35" s="8"/>
      <c r="E35" s="8">
        <v>6614</v>
      </c>
      <c r="F35" s="58" t="s">
        <v>36</v>
      </c>
      <c r="G35" s="60">
        <v>93674.1</v>
      </c>
      <c r="H35" s="73">
        <v>86270</v>
      </c>
      <c r="I35" s="73">
        <v>95000</v>
      </c>
      <c r="J35" s="60">
        <v>102234.85</v>
      </c>
      <c r="K35" s="65">
        <f t="shared" si="5"/>
        <v>109.13886549216913</v>
      </c>
      <c r="L35" s="65">
        <f t="shared" si="6"/>
        <v>107.61563157894739</v>
      </c>
    </row>
    <row r="36" spans="2:12" x14ac:dyDescent="0.25">
      <c r="B36" s="7"/>
      <c r="C36" s="15"/>
      <c r="D36" s="8"/>
      <c r="E36" s="8">
        <v>6615</v>
      </c>
      <c r="F36" s="58" t="s">
        <v>91</v>
      </c>
      <c r="G36" s="60">
        <v>6491390.0800000001</v>
      </c>
      <c r="H36" s="73">
        <v>6277789</v>
      </c>
      <c r="I36" s="73">
        <v>7262000</v>
      </c>
      <c r="J36" s="60">
        <v>6771304.2800000003</v>
      </c>
      <c r="K36" s="65">
        <f t="shared" si="5"/>
        <v>104.31208410756916</v>
      </c>
      <c r="L36" s="65">
        <f t="shared" si="6"/>
        <v>93.242967226659317</v>
      </c>
    </row>
    <row r="37" spans="2:12" x14ac:dyDescent="0.25">
      <c r="B37" s="7"/>
      <c r="C37" s="15"/>
      <c r="D37" s="8">
        <v>663</v>
      </c>
      <c r="E37" s="8"/>
      <c r="F37" s="58" t="s">
        <v>103</v>
      </c>
      <c r="G37" s="60">
        <f>SUM(G38:G39)</f>
        <v>6574.58</v>
      </c>
      <c r="H37" s="73">
        <f>SUM(H38:H39)</f>
        <v>3523</v>
      </c>
      <c r="I37" s="73">
        <f>SUM(I38:I39)</f>
        <v>695</v>
      </c>
      <c r="J37" s="60">
        <f>SUM(J38:J39)</f>
        <v>5494.9</v>
      </c>
      <c r="K37" s="65">
        <f t="shared" si="5"/>
        <v>83.577962394555996</v>
      </c>
      <c r="L37" s="65">
        <f t="shared" si="6"/>
        <v>790.63309352517979</v>
      </c>
    </row>
    <row r="38" spans="2:12" x14ac:dyDescent="0.25">
      <c r="B38" s="7"/>
      <c r="C38" s="15"/>
      <c r="D38" s="8"/>
      <c r="E38" s="8">
        <v>6631</v>
      </c>
      <c r="F38" s="58" t="s">
        <v>104</v>
      </c>
      <c r="G38" s="60">
        <v>6022.66</v>
      </c>
      <c r="H38" s="73">
        <v>3523</v>
      </c>
      <c r="I38" s="73">
        <v>695</v>
      </c>
      <c r="J38" s="60">
        <v>694.9</v>
      </c>
      <c r="K38" s="65">
        <f t="shared" si="5"/>
        <v>11.538091142452005</v>
      </c>
      <c r="L38" s="65">
        <f t="shared" si="6"/>
        <v>99.985611510791358</v>
      </c>
    </row>
    <row r="39" spans="2:12" x14ac:dyDescent="0.25">
      <c r="B39" s="7"/>
      <c r="C39" s="15"/>
      <c r="D39" s="8"/>
      <c r="E39" s="8">
        <v>6632</v>
      </c>
      <c r="F39" s="58" t="s">
        <v>105</v>
      </c>
      <c r="G39" s="60">
        <v>551.91999999999996</v>
      </c>
      <c r="H39" s="73"/>
      <c r="I39" s="73">
        <v>0</v>
      </c>
      <c r="J39" s="60">
        <v>4800</v>
      </c>
      <c r="K39" s="65">
        <f t="shared" si="5"/>
        <v>869.691259602841</v>
      </c>
      <c r="L39" s="65"/>
    </row>
    <row r="40" spans="2:12" x14ac:dyDescent="0.25">
      <c r="B40" s="7"/>
      <c r="C40" s="15">
        <v>67</v>
      </c>
      <c r="D40" s="8"/>
      <c r="E40" s="8"/>
      <c r="F40" s="58" t="s">
        <v>92</v>
      </c>
      <c r="G40" s="60">
        <f t="shared" ref="G40:J41" si="7">SUM(G41)</f>
        <v>265446</v>
      </c>
      <c r="H40" s="73">
        <f t="shared" si="7"/>
        <v>265446</v>
      </c>
      <c r="I40" s="73">
        <f t="shared" si="7"/>
        <v>750000</v>
      </c>
      <c r="J40" s="60">
        <f t="shared" si="7"/>
        <v>750000</v>
      </c>
      <c r="K40" s="65">
        <f t="shared" si="5"/>
        <v>282.54334214868561</v>
      </c>
      <c r="L40" s="65">
        <f t="shared" si="6"/>
        <v>100</v>
      </c>
    </row>
    <row r="41" spans="2:12" x14ac:dyDescent="0.25">
      <c r="B41" s="7"/>
      <c r="C41" s="15"/>
      <c r="D41" s="8">
        <v>671</v>
      </c>
      <c r="E41" s="8"/>
      <c r="F41" s="58" t="s">
        <v>93</v>
      </c>
      <c r="G41" s="60">
        <f t="shared" si="7"/>
        <v>265446</v>
      </c>
      <c r="H41" s="73">
        <f t="shared" si="7"/>
        <v>265446</v>
      </c>
      <c r="I41" s="73">
        <f t="shared" si="7"/>
        <v>750000</v>
      </c>
      <c r="J41" s="60">
        <f t="shared" si="7"/>
        <v>750000</v>
      </c>
      <c r="K41" s="65">
        <f t="shared" si="5"/>
        <v>282.54334214868561</v>
      </c>
      <c r="L41" s="65">
        <f t="shared" si="6"/>
        <v>100</v>
      </c>
    </row>
    <row r="42" spans="2:12" x14ac:dyDescent="0.25">
      <c r="B42" s="7"/>
      <c r="C42" s="15"/>
      <c r="D42" s="8"/>
      <c r="E42" s="8">
        <v>6711</v>
      </c>
      <c r="F42" s="58" t="s">
        <v>94</v>
      </c>
      <c r="G42" s="60">
        <v>265446</v>
      </c>
      <c r="H42" s="73">
        <v>265446</v>
      </c>
      <c r="I42" s="73">
        <v>750000</v>
      </c>
      <c r="J42" s="60">
        <v>750000</v>
      </c>
      <c r="K42" s="65">
        <f t="shared" si="5"/>
        <v>282.54334214868561</v>
      </c>
      <c r="L42" s="65">
        <f t="shared" si="6"/>
        <v>100</v>
      </c>
    </row>
    <row r="43" spans="2:12" x14ac:dyDescent="0.25">
      <c r="B43" s="7"/>
      <c r="C43" s="15">
        <v>68</v>
      </c>
      <c r="D43" s="8"/>
      <c r="E43" s="8"/>
      <c r="F43" s="58" t="s">
        <v>95</v>
      </c>
      <c r="G43" s="60">
        <f>SUM(G44,G46)</f>
        <v>16312.77</v>
      </c>
      <c r="H43" s="73">
        <f>SUM(H44,H46)</f>
        <v>32797</v>
      </c>
      <c r="I43" s="73">
        <f>SUM(I44,I46)</f>
        <v>30000</v>
      </c>
      <c r="J43" s="60">
        <f>SUM(J44,J46)</f>
        <v>29445.050000000003</v>
      </c>
      <c r="K43" s="65">
        <f t="shared" si="5"/>
        <v>180.50306600289224</v>
      </c>
      <c r="L43" s="65">
        <f t="shared" si="6"/>
        <v>98.150166666666678</v>
      </c>
    </row>
    <row r="44" spans="2:12" x14ac:dyDescent="0.25">
      <c r="B44" s="7"/>
      <c r="C44" s="15"/>
      <c r="D44" s="8">
        <v>681</v>
      </c>
      <c r="E44" s="8"/>
      <c r="F44" s="58" t="s">
        <v>96</v>
      </c>
      <c r="G44" s="60">
        <f>SUM(G45)</f>
        <v>3919.74</v>
      </c>
      <c r="H44" s="73">
        <f>SUM(H45)</f>
        <v>13272</v>
      </c>
      <c r="I44" s="73">
        <f>SUM(I45)</f>
        <v>15000</v>
      </c>
      <c r="J44" s="60">
        <f>SUM(J45)</f>
        <v>18149.77</v>
      </c>
      <c r="K44" s="65">
        <f t="shared" si="5"/>
        <v>463.03504824299574</v>
      </c>
      <c r="L44" s="65">
        <f t="shared" si="6"/>
        <v>120.99846666666667</v>
      </c>
    </row>
    <row r="45" spans="2:12" x14ac:dyDescent="0.25">
      <c r="B45" s="7"/>
      <c r="C45" s="15"/>
      <c r="D45" s="8"/>
      <c r="E45" s="8">
        <v>6819</v>
      </c>
      <c r="F45" s="58" t="s">
        <v>97</v>
      </c>
      <c r="G45" s="60">
        <v>3919.74</v>
      </c>
      <c r="H45" s="73">
        <v>13272</v>
      </c>
      <c r="I45" s="73">
        <v>15000</v>
      </c>
      <c r="J45" s="60">
        <v>18149.77</v>
      </c>
      <c r="K45" s="65">
        <f t="shared" si="5"/>
        <v>463.03504824299574</v>
      </c>
      <c r="L45" s="65">
        <f t="shared" si="6"/>
        <v>120.99846666666667</v>
      </c>
    </row>
    <row r="46" spans="2:12" x14ac:dyDescent="0.25">
      <c r="B46" s="7"/>
      <c r="C46" s="15"/>
      <c r="D46" s="8">
        <v>683</v>
      </c>
      <c r="E46" s="8"/>
      <c r="F46" s="58" t="s">
        <v>98</v>
      </c>
      <c r="G46" s="60">
        <f>SUM(G47)</f>
        <v>12393.03</v>
      </c>
      <c r="H46" s="73">
        <f>SUM(H47)</f>
        <v>19525</v>
      </c>
      <c r="I46" s="73">
        <f>SUM(I47)</f>
        <v>15000</v>
      </c>
      <c r="J46" s="60">
        <f>SUM(J47)</f>
        <v>11295.28</v>
      </c>
      <c r="K46" s="65">
        <f t="shared" si="5"/>
        <v>91.142198477692702</v>
      </c>
      <c r="L46" s="65">
        <f t="shared" si="6"/>
        <v>75.301866666666669</v>
      </c>
    </row>
    <row r="47" spans="2:12" x14ac:dyDescent="0.25">
      <c r="B47" s="7"/>
      <c r="C47" s="15"/>
      <c r="D47" s="8"/>
      <c r="E47" s="8">
        <v>6831</v>
      </c>
      <c r="F47" s="58" t="s">
        <v>98</v>
      </c>
      <c r="G47" s="60">
        <v>12393.03</v>
      </c>
      <c r="H47" s="73">
        <v>19525</v>
      </c>
      <c r="I47" s="73">
        <v>15000</v>
      </c>
      <c r="J47" s="60">
        <v>11295.28</v>
      </c>
      <c r="K47" s="65">
        <f t="shared" si="5"/>
        <v>91.142198477692702</v>
      </c>
      <c r="L47" s="65">
        <f t="shared" si="6"/>
        <v>75.301866666666669</v>
      </c>
    </row>
    <row r="48" spans="2:12" ht="36.75" customHeight="1" x14ac:dyDescent="0.25">
      <c r="B48" s="110" t="s">
        <v>7</v>
      </c>
      <c r="C48" s="111"/>
      <c r="D48" s="111"/>
      <c r="E48" s="111"/>
      <c r="F48" s="112"/>
      <c r="G48" s="33" t="s">
        <v>202</v>
      </c>
      <c r="H48" s="33" t="s">
        <v>60</v>
      </c>
      <c r="I48" s="33" t="s">
        <v>215</v>
      </c>
      <c r="J48" s="33" t="s">
        <v>219</v>
      </c>
      <c r="K48" s="33" t="s">
        <v>28</v>
      </c>
      <c r="L48" s="33" t="s">
        <v>58</v>
      </c>
    </row>
    <row r="49" spans="2:12" x14ac:dyDescent="0.25">
      <c r="B49" s="113">
        <v>1</v>
      </c>
      <c r="C49" s="114"/>
      <c r="D49" s="114"/>
      <c r="E49" s="114"/>
      <c r="F49" s="115"/>
      <c r="G49" s="35">
        <v>2</v>
      </c>
      <c r="H49" s="35">
        <v>3</v>
      </c>
      <c r="I49" s="35">
        <v>3</v>
      </c>
      <c r="J49" s="35">
        <v>4</v>
      </c>
      <c r="K49" s="35" t="s">
        <v>208</v>
      </c>
      <c r="L49" s="35" t="s">
        <v>209</v>
      </c>
    </row>
    <row r="50" spans="2:12" x14ac:dyDescent="0.25">
      <c r="B50" s="15">
        <v>7</v>
      </c>
      <c r="C50" s="7"/>
      <c r="D50" s="8"/>
      <c r="E50" s="8"/>
      <c r="F50" s="58" t="s">
        <v>26</v>
      </c>
      <c r="G50" s="62">
        <f>SUM(G51)</f>
        <v>11820.06</v>
      </c>
      <c r="H50" s="77">
        <f>SUM(H51)</f>
        <v>92906</v>
      </c>
      <c r="I50" s="77">
        <f>SUM(I51)</f>
        <v>80000</v>
      </c>
      <c r="J50" s="62">
        <f>SUM(J51)</f>
        <v>12672</v>
      </c>
      <c r="K50" s="65">
        <f t="shared" si="5"/>
        <v>107.20757762650952</v>
      </c>
      <c r="L50" s="65">
        <f t="shared" si="6"/>
        <v>15.840000000000002</v>
      </c>
    </row>
    <row r="51" spans="2:12" ht="16.5" customHeight="1" x14ac:dyDescent="0.25">
      <c r="B51" s="7"/>
      <c r="C51" s="15">
        <v>72</v>
      </c>
      <c r="D51" s="8"/>
      <c r="E51" s="8"/>
      <c r="F51" s="58" t="s">
        <v>27</v>
      </c>
      <c r="G51" s="60">
        <f>SUM(G52,G54,G57)</f>
        <v>11820.06</v>
      </c>
      <c r="H51" s="73">
        <f>SUM(H52,H54,H57)</f>
        <v>92906</v>
      </c>
      <c r="I51" s="73">
        <f>SUM(I52,I54,I57)</f>
        <v>80000</v>
      </c>
      <c r="J51" s="60">
        <f>SUM(J52,J54,J57)</f>
        <v>12672</v>
      </c>
      <c r="K51" s="65">
        <f t="shared" si="5"/>
        <v>107.20757762650952</v>
      </c>
      <c r="L51" s="65">
        <f t="shared" si="6"/>
        <v>15.840000000000002</v>
      </c>
    </row>
    <row r="52" spans="2:12" ht="17.25" customHeight="1" x14ac:dyDescent="0.25">
      <c r="B52" s="7"/>
      <c r="C52" s="7"/>
      <c r="D52" s="8">
        <v>722</v>
      </c>
      <c r="E52" s="8"/>
      <c r="F52" s="58" t="s">
        <v>107</v>
      </c>
      <c r="G52" s="60">
        <f>SUM(G53)</f>
        <v>1180</v>
      </c>
      <c r="H52" s="73">
        <f>SUM(H53)</f>
        <v>0</v>
      </c>
      <c r="I52" s="73">
        <f>SUM(I53)</f>
        <v>0</v>
      </c>
      <c r="J52" s="60">
        <f>SUM(J53)</f>
        <v>0</v>
      </c>
      <c r="K52" s="65">
        <f t="shared" si="5"/>
        <v>0</v>
      </c>
      <c r="L52" s="65"/>
    </row>
    <row r="53" spans="2:12" ht="15.75" customHeight="1" x14ac:dyDescent="0.25">
      <c r="B53" s="7"/>
      <c r="C53" s="7"/>
      <c r="D53" s="8"/>
      <c r="E53" s="8">
        <v>7227</v>
      </c>
      <c r="F53" s="59" t="s">
        <v>108</v>
      </c>
      <c r="G53" s="60">
        <v>1180</v>
      </c>
      <c r="H53" s="73"/>
      <c r="I53" s="73">
        <v>0</v>
      </c>
      <c r="J53" s="60">
        <v>0</v>
      </c>
      <c r="K53" s="65">
        <f t="shared" si="5"/>
        <v>0</v>
      </c>
      <c r="L53" s="65"/>
    </row>
    <row r="54" spans="2:12" x14ac:dyDescent="0.25">
      <c r="B54" s="7"/>
      <c r="C54" s="7"/>
      <c r="D54" s="7">
        <v>723</v>
      </c>
      <c r="E54" s="7"/>
      <c r="F54" s="27" t="s">
        <v>99</v>
      </c>
      <c r="G54" s="60">
        <f>SUM(G55)</f>
        <v>0</v>
      </c>
      <c r="H54" s="73">
        <f>SUM(H55:H56)</f>
        <v>66361</v>
      </c>
      <c r="I54" s="73">
        <f>SUM(I55:I56)</f>
        <v>60000</v>
      </c>
      <c r="J54" s="60">
        <f>SUM(J55)</f>
        <v>0</v>
      </c>
      <c r="K54" s="65"/>
      <c r="L54" s="65">
        <f t="shared" si="6"/>
        <v>0</v>
      </c>
    </row>
    <row r="55" spans="2:12" x14ac:dyDescent="0.25">
      <c r="B55" s="7"/>
      <c r="C55" s="7"/>
      <c r="D55" s="7"/>
      <c r="E55" s="7">
        <v>7231</v>
      </c>
      <c r="F55" s="27" t="s">
        <v>100</v>
      </c>
      <c r="G55" s="60">
        <v>0</v>
      </c>
      <c r="H55" s="73">
        <v>6636</v>
      </c>
      <c r="I55" s="73">
        <v>0</v>
      </c>
      <c r="J55" s="60">
        <v>0</v>
      </c>
      <c r="K55" s="65"/>
      <c r="L55" s="65"/>
    </row>
    <row r="56" spans="2:12" x14ac:dyDescent="0.25">
      <c r="B56" s="7"/>
      <c r="C56" s="7"/>
      <c r="D56" s="7"/>
      <c r="E56" s="7">
        <v>7233</v>
      </c>
      <c r="F56" s="27" t="s">
        <v>106</v>
      </c>
      <c r="G56" s="60">
        <v>0</v>
      </c>
      <c r="H56" s="73">
        <v>59725</v>
      </c>
      <c r="I56" s="73">
        <v>60000</v>
      </c>
      <c r="J56" s="60">
        <v>0</v>
      </c>
      <c r="K56" s="65"/>
      <c r="L56" s="65">
        <f t="shared" si="6"/>
        <v>0</v>
      </c>
    </row>
    <row r="57" spans="2:12" x14ac:dyDescent="0.25">
      <c r="B57" s="7"/>
      <c r="C57" s="7"/>
      <c r="D57" s="7">
        <v>725</v>
      </c>
      <c r="E57" s="7"/>
      <c r="F57" s="27" t="s">
        <v>101</v>
      </c>
      <c r="G57" s="60">
        <f>SUM(G58)</f>
        <v>10640.06</v>
      </c>
      <c r="H57" s="73">
        <f>SUM(H58)</f>
        <v>26545</v>
      </c>
      <c r="I57" s="73">
        <f>SUM(I58)</f>
        <v>20000</v>
      </c>
      <c r="J57" s="60">
        <f>SUM(J58)</f>
        <v>12672</v>
      </c>
      <c r="K57" s="65">
        <f t="shared" si="5"/>
        <v>119.09707276086789</v>
      </c>
      <c r="L57" s="65">
        <f t="shared" si="6"/>
        <v>63.360000000000007</v>
      </c>
    </row>
    <row r="58" spans="2:12" x14ac:dyDescent="0.25">
      <c r="B58" s="7"/>
      <c r="C58" s="7"/>
      <c r="D58" s="7"/>
      <c r="E58" s="7">
        <v>7252</v>
      </c>
      <c r="F58" s="27" t="s">
        <v>102</v>
      </c>
      <c r="G58" s="60">
        <v>10640.06</v>
      </c>
      <c r="H58" s="73">
        <v>26545</v>
      </c>
      <c r="I58" s="73">
        <v>20000</v>
      </c>
      <c r="J58" s="60">
        <v>12672</v>
      </c>
      <c r="K58" s="65">
        <f t="shared" si="5"/>
        <v>119.09707276086789</v>
      </c>
      <c r="L58" s="65">
        <f t="shared" si="6"/>
        <v>63.360000000000007</v>
      </c>
    </row>
    <row r="59" spans="2:12" ht="18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</row>
    <row r="60" spans="2:12" x14ac:dyDescent="0.25">
      <c r="B60" s="6"/>
      <c r="C60" s="6"/>
      <c r="D60" s="6"/>
      <c r="E60" s="6"/>
      <c r="F60" s="6" t="s">
        <v>55</v>
      </c>
      <c r="G60" s="76">
        <f>SUM(G61,G122)</f>
        <v>11326833.039999997</v>
      </c>
      <c r="H60" s="76">
        <f>SUM(H61,H122)</f>
        <v>11364395</v>
      </c>
      <c r="I60" s="76">
        <f>SUM(I61,I122)</f>
        <v>13021943</v>
      </c>
      <c r="J60" s="76">
        <f>SUM(J61,J122)</f>
        <v>13739156.920000002</v>
      </c>
      <c r="K60" s="65">
        <f>J60/G60*100</f>
        <v>121.29742595729127</v>
      </c>
      <c r="L60" s="65">
        <f>J60/I60*100</f>
        <v>105.5077335233306</v>
      </c>
    </row>
    <row r="61" spans="2:12" x14ac:dyDescent="0.25">
      <c r="B61" s="6">
        <v>3</v>
      </c>
      <c r="C61" s="6"/>
      <c r="D61" s="6"/>
      <c r="E61" s="6"/>
      <c r="F61" s="6" t="s">
        <v>4</v>
      </c>
      <c r="G61" s="76">
        <f>SUM(G62,G71,G106,G113,G116,G119)</f>
        <v>10938347.729999997</v>
      </c>
      <c r="H61" s="76">
        <f>SUM(H62,H71,H106,H113,H116,H119)</f>
        <v>10497918</v>
      </c>
      <c r="I61" s="76">
        <f>SUM(I62,I71,I106,I113,I116,I119)</f>
        <v>12571448</v>
      </c>
      <c r="J61" s="76">
        <f>SUM(J62,J71,J106,J113,J116,J119)</f>
        <v>13375130.850000001</v>
      </c>
      <c r="K61" s="65">
        <f t="shared" ref="K61:K126" si="8">J61/G61*100</f>
        <v>122.27743330299123</v>
      </c>
      <c r="L61" s="65">
        <f t="shared" ref="L61:L126" si="9">J61/I61*100</f>
        <v>106.39292188139346</v>
      </c>
    </row>
    <row r="62" spans="2:12" x14ac:dyDescent="0.25">
      <c r="B62" s="6"/>
      <c r="C62" s="6">
        <v>31</v>
      </c>
      <c r="D62" s="10"/>
      <c r="E62" s="10"/>
      <c r="F62" s="10" t="s">
        <v>5</v>
      </c>
      <c r="G62" s="73">
        <f t="shared" ref="G62" si="10">SUM(G63,G66,G68)</f>
        <v>5870752.8299999991</v>
      </c>
      <c r="H62" s="73">
        <f t="shared" ref="H62:J62" si="11">SUM(H63,H66,H68)</f>
        <v>4233856</v>
      </c>
      <c r="I62" s="73">
        <f t="shared" si="11"/>
        <v>7345000</v>
      </c>
      <c r="J62" s="73">
        <f t="shared" si="11"/>
        <v>8057946.7000000002</v>
      </c>
      <c r="K62" s="65">
        <f t="shared" si="8"/>
        <v>137.2557648624427</v>
      </c>
      <c r="L62" s="65">
        <f t="shared" si="9"/>
        <v>109.70655820285909</v>
      </c>
    </row>
    <row r="63" spans="2:12" x14ac:dyDescent="0.25">
      <c r="B63" s="7"/>
      <c r="C63" s="7"/>
      <c r="D63" s="7">
        <v>311</v>
      </c>
      <c r="E63" s="7"/>
      <c r="F63" s="7" t="s">
        <v>37</v>
      </c>
      <c r="G63" s="73">
        <f t="shared" ref="G63" si="12">SUM(G64:G65)</f>
        <v>4572134.4799999995</v>
      </c>
      <c r="H63" s="73">
        <f t="shared" ref="H63:J63" si="13">SUM(H64:H65)</f>
        <v>3391067</v>
      </c>
      <c r="I63" s="73">
        <f t="shared" si="13"/>
        <v>5665000</v>
      </c>
      <c r="J63" s="73">
        <f t="shared" si="13"/>
        <v>6353089.75</v>
      </c>
      <c r="K63" s="65">
        <f t="shared" si="8"/>
        <v>138.952381601864</v>
      </c>
      <c r="L63" s="65">
        <f t="shared" si="9"/>
        <v>112.14633274492498</v>
      </c>
    </row>
    <row r="64" spans="2:12" x14ac:dyDescent="0.25">
      <c r="B64" s="7"/>
      <c r="C64" s="7"/>
      <c r="D64" s="7"/>
      <c r="E64" s="7">
        <v>3111</v>
      </c>
      <c r="F64" s="7" t="s">
        <v>38</v>
      </c>
      <c r="G64" s="65">
        <v>4472402.47</v>
      </c>
      <c r="H64" s="73">
        <v>3331342</v>
      </c>
      <c r="I64" s="73">
        <v>5545000</v>
      </c>
      <c r="J64" s="65">
        <v>6201316.3099999996</v>
      </c>
      <c r="K64" s="65">
        <f t="shared" si="8"/>
        <v>138.65738496473014</v>
      </c>
      <c r="L64" s="65">
        <f t="shared" si="9"/>
        <v>111.83618232642019</v>
      </c>
    </row>
    <row r="65" spans="2:12" x14ac:dyDescent="0.25">
      <c r="B65" s="7"/>
      <c r="C65" s="7"/>
      <c r="D65" s="7"/>
      <c r="E65" s="7">
        <v>3113</v>
      </c>
      <c r="F65" s="58" t="s">
        <v>109</v>
      </c>
      <c r="G65" s="65">
        <v>99732.01</v>
      </c>
      <c r="H65" s="73">
        <v>59725</v>
      </c>
      <c r="I65" s="73">
        <v>120000</v>
      </c>
      <c r="J65" s="65">
        <v>151773.44</v>
      </c>
      <c r="K65" s="65">
        <f t="shared" si="8"/>
        <v>152.18127058704621</v>
      </c>
      <c r="L65" s="65">
        <f t="shared" si="9"/>
        <v>126.47786666666667</v>
      </c>
    </row>
    <row r="66" spans="2:12" x14ac:dyDescent="0.25">
      <c r="B66" s="7"/>
      <c r="C66" s="7"/>
      <c r="D66" s="7">
        <v>312</v>
      </c>
      <c r="E66" s="7"/>
      <c r="F66" s="58" t="s">
        <v>110</v>
      </c>
      <c r="G66" s="73">
        <f t="shared" ref="G66:J66" si="14">SUM(G67)</f>
        <v>540656.38</v>
      </c>
      <c r="H66" s="73">
        <f t="shared" si="14"/>
        <v>331807</v>
      </c>
      <c r="I66" s="73">
        <f t="shared" si="14"/>
        <v>700000</v>
      </c>
      <c r="J66" s="73">
        <f t="shared" si="14"/>
        <v>667466.31000000006</v>
      </c>
      <c r="K66" s="65">
        <f t="shared" si="8"/>
        <v>123.45481061372105</v>
      </c>
      <c r="L66" s="65">
        <f t="shared" si="9"/>
        <v>95.352330000000009</v>
      </c>
    </row>
    <row r="67" spans="2:12" x14ac:dyDescent="0.25">
      <c r="B67" s="7"/>
      <c r="C67" s="7"/>
      <c r="D67" s="7"/>
      <c r="E67" s="7">
        <v>3121</v>
      </c>
      <c r="F67" s="58" t="s">
        <v>110</v>
      </c>
      <c r="G67" s="65">
        <v>540656.38</v>
      </c>
      <c r="H67" s="73">
        <v>331807</v>
      </c>
      <c r="I67" s="73">
        <v>700000</v>
      </c>
      <c r="J67" s="65">
        <v>667466.31000000006</v>
      </c>
      <c r="K67" s="65">
        <f t="shared" si="8"/>
        <v>123.45481061372105</v>
      </c>
      <c r="L67" s="65">
        <f t="shared" si="9"/>
        <v>95.352330000000009</v>
      </c>
    </row>
    <row r="68" spans="2:12" x14ac:dyDescent="0.25">
      <c r="B68" s="7"/>
      <c r="C68" s="7"/>
      <c r="D68" s="7">
        <v>313</v>
      </c>
      <c r="E68" s="7"/>
      <c r="F68" s="58" t="s">
        <v>111</v>
      </c>
      <c r="G68" s="73">
        <f t="shared" ref="G68" si="15">SUM(G69:G70)</f>
        <v>757961.97</v>
      </c>
      <c r="H68" s="73">
        <f t="shared" ref="H68:J68" si="16">SUM(H69:H70)</f>
        <v>510982</v>
      </c>
      <c r="I68" s="73">
        <f t="shared" si="16"/>
        <v>980000</v>
      </c>
      <c r="J68" s="73">
        <f t="shared" si="16"/>
        <v>1037390.6399999999</v>
      </c>
      <c r="K68" s="65">
        <f t="shared" si="8"/>
        <v>136.86579024538659</v>
      </c>
      <c r="L68" s="65">
        <f t="shared" si="9"/>
        <v>105.85618775510204</v>
      </c>
    </row>
    <row r="69" spans="2:12" x14ac:dyDescent="0.25">
      <c r="B69" s="7"/>
      <c r="C69" s="7"/>
      <c r="D69" s="7"/>
      <c r="E69" s="7">
        <v>3131</v>
      </c>
      <c r="F69" s="58" t="s">
        <v>112</v>
      </c>
      <c r="G69" s="65">
        <v>49133.4</v>
      </c>
      <c r="H69" s="73">
        <v>19908</v>
      </c>
      <c r="I69" s="73">
        <v>50000</v>
      </c>
      <c r="J69" s="65">
        <v>57460.94</v>
      </c>
      <c r="K69" s="65">
        <f t="shared" si="8"/>
        <v>116.94883724716792</v>
      </c>
      <c r="L69" s="65">
        <f t="shared" si="9"/>
        <v>114.92188000000002</v>
      </c>
    </row>
    <row r="70" spans="2:12" x14ac:dyDescent="0.25">
      <c r="B70" s="7"/>
      <c r="C70" s="7"/>
      <c r="D70" s="7"/>
      <c r="E70" s="7">
        <v>3132</v>
      </c>
      <c r="F70" s="58" t="s">
        <v>113</v>
      </c>
      <c r="G70" s="65">
        <v>708828.57</v>
      </c>
      <c r="H70" s="73">
        <v>491074</v>
      </c>
      <c r="I70" s="73">
        <v>930000</v>
      </c>
      <c r="J70" s="65">
        <v>979929.7</v>
      </c>
      <c r="K70" s="65">
        <f t="shared" si="8"/>
        <v>138.24636047048725</v>
      </c>
      <c r="L70" s="65">
        <f t="shared" si="9"/>
        <v>105.36878494623656</v>
      </c>
    </row>
    <row r="71" spans="2:12" x14ac:dyDescent="0.25">
      <c r="B71" s="7"/>
      <c r="C71" s="15">
        <v>32</v>
      </c>
      <c r="D71" s="8"/>
      <c r="E71" s="8"/>
      <c r="F71" s="7" t="s">
        <v>12</v>
      </c>
      <c r="G71" s="73">
        <f t="shared" ref="G71" si="17">SUM(G72,G77,G84,G94,G98)</f>
        <v>4885158.97</v>
      </c>
      <c r="H71" s="73">
        <f t="shared" ref="H71:J71" si="18">SUM(H72,H77,H84,H94,H98)</f>
        <v>6124037</v>
      </c>
      <c r="I71" s="73">
        <f t="shared" si="18"/>
        <v>5125448</v>
      </c>
      <c r="J71" s="73">
        <f t="shared" si="18"/>
        <v>5208590.21</v>
      </c>
      <c r="K71" s="65">
        <f t="shared" si="8"/>
        <v>106.62069017582043</v>
      </c>
      <c r="L71" s="65">
        <f t="shared" si="9"/>
        <v>101.62214522515885</v>
      </c>
    </row>
    <row r="72" spans="2:12" x14ac:dyDescent="0.25">
      <c r="B72" s="7"/>
      <c r="C72" s="7"/>
      <c r="D72" s="7">
        <v>321</v>
      </c>
      <c r="E72" s="7"/>
      <c r="F72" s="7" t="s">
        <v>39</v>
      </c>
      <c r="G72" s="73">
        <f t="shared" ref="G72" si="19">SUM(G73:G76)</f>
        <v>213567.12</v>
      </c>
      <c r="H72" s="73">
        <f t="shared" ref="H72:J72" si="20">SUM(H73:H76)</f>
        <v>175898</v>
      </c>
      <c r="I72" s="73">
        <f t="shared" si="20"/>
        <v>245100</v>
      </c>
      <c r="J72" s="73">
        <f t="shared" si="20"/>
        <v>273382.98</v>
      </c>
      <c r="K72" s="65">
        <f t="shared" si="8"/>
        <v>128.00799111773384</v>
      </c>
      <c r="L72" s="65">
        <f t="shared" si="9"/>
        <v>111.5393635250918</v>
      </c>
    </row>
    <row r="73" spans="2:12" x14ac:dyDescent="0.25">
      <c r="B73" s="7"/>
      <c r="C73" s="15"/>
      <c r="D73" s="7"/>
      <c r="E73" s="7">
        <v>3211</v>
      </c>
      <c r="F73" s="21" t="s">
        <v>40</v>
      </c>
      <c r="G73" s="65">
        <v>26749.88</v>
      </c>
      <c r="H73" s="73">
        <v>26411</v>
      </c>
      <c r="I73" s="73">
        <v>30000</v>
      </c>
      <c r="J73" s="65">
        <v>47536.81</v>
      </c>
      <c r="K73" s="65">
        <f t="shared" si="8"/>
        <v>177.70849813158037</v>
      </c>
      <c r="L73" s="65">
        <f t="shared" si="9"/>
        <v>158.45603333333332</v>
      </c>
    </row>
    <row r="74" spans="2:12" x14ac:dyDescent="0.25">
      <c r="B74" s="7"/>
      <c r="C74" s="15"/>
      <c r="D74" s="7"/>
      <c r="E74" s="7">
        <v>3212</v>
      </c>
      <c r="F74" s="58" t="s">
        <v>114</v>
      </c>
      <c r="G74" s="65">
        <v>171341.24</v>
      </c>
      <c r="H74" s="73">
        <v>132723</v>
      </c>
      <c r="I74" s="73">
        <v>190000</v>
      </c>
      <c r="J74" s="65">
        <v>194315.68</v>
      </c>
      <c r="K74" s="65">
        <f t="shared" si="8"/>
        <v>113.40858744806563</v>
      </c>
      <c r="L74" s="65">
        <f t="shared" si="9"/>
        <v>102.27141052631579</v>
      </c>
    </row>
    <row r="75" spans="2:12" x14ac:dyDescent="0.25">
      <c r="B75" s="7"/>
      <c r="C75" s="15"/>
      <c r="D75" s="7"/>
      <c r="E75" s="7">
        <v>3213</v>
      </c>
      <c r="F75" s="58" t="s">
        <v>115</v>
      </c>
      <c r="G75" s="65">
        <v>14744.88</v>
      </c>
      <c r="H75" s="73">
        <v>16100</v>
      </c>
      <c r="I75" s="73">
        <v>25000</v>
      </c>
      <c r="J75" s="65">
        <v>31530.49</v>
      </c>
      <c r="K75" s="65">
        <f t="shared" si="8"/>
        <v>213.84026184004213</v>
      </c>
      <c r="L75" s="65">
        <f t="shared" si="9"/>
        <v>126.12196</v>
      </c>
    </row>
    <row r="76" spans="2:12" x14ac:dyDescent="0.25">
      <c r="B76" s="7"/>
      <c r="C76" s="15"/>
      <c r="D76" s="7"/>
      <c r="E76" s="7">
        <v>3214</v>
      </c>
      <c r="F76" s="58" t="s">
        <v>116</v>
      </c>
      <c r="G76" s="65">
        <v>731.12</v>
      </c>
      <c r="H76" s="73">
        <v>664</v>
      </c>
      <c r="I76" s="73">
        <v>100</v>
      </c>
      <c r="J76" s="65">
        <v>0</v>
      </c>
      <c r="K76" s="65">
        <f t="shared" si="8"/>
        <v>0</v>
      </c>
      <c r="L76" s="65">
        <f t="shared" si="9"/>
        <v>0</v>
      </c>
    </row>
    <row r="77" spans="2:12" x14ac:dyDescent="0.25">
      <c r="B77" s="7"/>
      <c r="C77" s="15"/>
      <c r="D77" s="7">
        <v>322</v>
      </c>
      <c r="E77" s="7"/>
      <c r="F77" s="58" t="s">
        <v>117</v>
      </c>
      <c r="G77" s="73">
        <f t="shared" ref="G77" si="21">SUM(G78:G83)</f>
        <v>1997276.58</v>
      </c>
      <c r="H77" s="73">
        <f t="shared" ref="H77:J77" si="22">SUM(H78:H83)</f>
        <v>2378016</v>
      </c>
      <c r="I77" s="73">
        <f t="shared" si="22"/>
        <v>2159947</v>
      </c>
      <c r="J77" s="73">
        <f t="shared" si="22"/>
        <v>1990701.8900000001</v>
      </c>
      <c r="K77" s="65">
        <f t="shared" si="8"/>
        <v>99.670817248555537</v>
      </c>
      <c r="L77" s="65">
        <f t="shared" si="9"/>
        <v>92.164385977989284</v>
      </c>
    </row>
    <row r="78" spans="2:12" x14ac:dyDescent="0.25">
      <c r="B78" s="7"/>
      <c r="C78" s="15"/>
      <c r="D78" s="7"/>
      <c r="E78" s="7">
        <v>3221</v>
      </c>
      <c r="F78" s="58" t="s">
        <v>118</v>
      </c>
      <c r="G78" s="65">
        <v>183582.49</v>
      </c>
      <c r="H78" s="73">
        <v>207632</v>
      </c>
      <c r="I78" s="73">
        <v>208930</v>
      </c>
      <c r="J78" s="65">
        <v>195027.05</v>
      </c>
      <c r="K78" s="65">
        <f t="shared" si="8"/>
        <v>106.23401501962415</v>
      </c>
      <c r="L78" s="65">
        <f t="shared" si="9"/>
        <v>93.345642081079788</v>
      </c>
    </row>
    <row r="79" spans="2:12" x14ac:dyDescent="0.25">
      <c r="B79" s="7"/>
      <c r="C79" s="15"/>
      <c r="D79" s="7"/>
      <c r="E79" s="7">
        <v>3222</v>
      </c>
      <c r="F79" s="58" t="s">
        <v>119</v>
      </c>
      <c r="G79" s="65">
        <v>824242.23</v>
      </c>
      <c r="H79" s="73">
        <v>735019</v>
      </c>
      <c r="I79" s="73">
        <v>775280</v>
      </c>
      <c r="J79" s="65">
        <v>802603.88</v>
      </c>
      <c r="K79" s="65">
        <f t="shared" si="8"/>
        <v>97.374758388683873</v>
      </c>
      <c r="L79" s="65">
        <f t="shared" si="9"/>
        <v>103.52438860798678</v>
      </c>
    </row>
    <row r="80" spans="2:12" x14ac:dyDescent="0.25">
      <c r="B80" s="7"/>
      <c r="C80" s="15"/>
      <c r="D80" s="7"/>
      <c r="E80" s="7">
        <v>3223</v>
      </c>
      <c r="F80" s="58" t="s">
        <v>120</v>
      </c>
      <c r="G80" s="65">
        <v>639565.74</v>
      </c>
      <c r="H80" s="73">
        <v>844117</v>
      </c>
      <c r="I80" s="73">
        <v>580000</v>
      </c>
      <c r="J80" s="65">
        <v>581850.04</v>
      </c>
      <c r="K80" s="65">
        <f t="shared" si="8"/>
        <v>90.975798672392941</v>
      </c>
      <c r="L80" s="65">
        <f t="shared" si="9"/>
        <v>100.31897241379311</v>
      </c>
    </row>
    <row r="81" spans="2:12" x14ac:dyDescent="0.25">
      <c r="B81" s="7"/>
      <c r="C81" s="15"/>
      <c r="D81" s="7"/>
      <c r="E81" s="7">
        <v>3224</v>
      </c>
      <c r="F81" s="58" t="s">
        <v>121</v>
      </c>
      <c r="G81" s="65">
        <v>189576.45</v>
      </c>
      <c r="H81" s="73">
        <v>387998</v>
      </c>
      <c r="I81" s="73">
        <v>413450</v>
      </c>
      <c r="J81" s="65">
        <v>300883.86</v>
      </c>
      <c r="K81" s="65">
        <f t="shared" si="8"/>
        <v>158.71373263925977</v>
      </c>
      <c r="L81" s="65">
        <f t="shared" si="9"/>
        <v>72.773941226266786</v>
      </c>
    </row>
    <row r="82" spans="2:12" x14ac:dyDescent="0.25">
      <c r="B82" s="7"/>
      <c r="C82" s="15"/>
      <c r="D82" s="7"/>
      <c r="E82" s="7">
        <v>3225</v>
      </c>
      <c r="F82" s="58" t="s">
        <v>122</v>
      </c>
      <c r="G82" s="65">
        <v>79454.59</v>
      </c>
      <c r="H82" s="73">
        <v>119027</v>
      </c>
      <c r="I82" s="73">
        <v>93200</v>
      </c>
      <c r="J82" s="65">
        <v>51927.3</v>
      </c>
      <c r="K82" s="65">
        <f t="shared" si="8"/>
        <v>65.354688759957114</v>
      </c>
      <c r="L82" s="65">
        <f t="shared" si="9"/>
        <v>55.715987124463517</v>
      </c>
    </row>
    <row r="83" spans="2:12" x14ac:dyDescent="0.25">
      <c r="B83" s="7"/>
      <c r="C83" s="15"/>
      <c r="D83" s="7"/>
      <c r="E83" s="7">
        <v>3227</v>
      </c>
      <c r="F83" s="58" t="s">
        <v>123</v>
      </c>
      <c r="G83" s="65">
        <v>80855.08</v>
      </c>
      <c r="H83" s="73">
        <v>84223</v>
      </c>
      <c r="I83" s="73">
        <v>89087</v>
      </c>
      <c r="J83" s="65">
        <v>58409.760000000002</v>
      </c>
      <c r="K83" s="65">
        <f t="shared" si="8"/>
        <v>72.240062096283879</v>
      </c>
      <c r="L83" s="65">
        <f t="shared" si="9"/>
        <v>65.564852335357571</v>
      </c>
    </row>
    <row r="84" spans="2:12" x14ac:dyDescent="0.25">
      <c r="B84" s="7"/>
      <c r="C84" s="15"/>
      <c r="D84" s="7">
        <v>323</v>
      </c>
      <c r="E84" s="7"/>
      <c r="F84" s="58" t="s">
        <v>124</v>
      </c>
      <c r="G84" s="73">
        <f t="shared" ref="G84" si="23">SUM(G85:G93)</f>
        <v>2186013.15</v>
      </c>
      <c r="H84" s="73">
        <f t="shared" ref="H84:J84" si="24">SUM(H85:H93)</f>
        <v>3256897</v>
      </c>
      <c r="I84" s="73">
        <f t="shared" si="24"/>
        <v>2286151</v>
      </c>
      <c r="J84" s="73">
        <f t="shared" si="24"/>
        <v>2438233.4299999997</v>
      </c>
      <c r="K84" s="65">
        <f t="shared" si="8"/>
        <v>111.53791229480939</v>
      </c>
      <c r="L84" s="65">
        <f t="shared" si="9"/>
        <v>106.6523353006866</v>
      </c>
    </row>
    <row r="85" spans="2:12" x14ac:dyDescent="0.25">
      <c r="B85" s="7"/>
      <c r="C85" s="15"/>
      <c r="D85" s="7"/>
      <c r="E85" s="7">
        <v>3231</v>
      </c>
      <c r="F85" s="58" t="s">
        <v>125</v>
      </c>
      <c r="G85" s="65">
        <v>25886.47</v>
      </c>
      <c r="H85" s="73">
        <v>37666</v>
      </c>
      <c r="I85" s="73">
        <v>25800</v>
      </c>
      <c r="J85" s="65">
        <v>25737.05</v>
      </c>
      <c r="K85" s="65">
        <f t="shared" si="8"/>
        <v>99.422787270724811</v>
      </c>
      <c r="L85" s="65">
        <f t="shared" si="9"/>
        <v>99.756007751937986</v>
      </c>
    </row>
    <row r="86" spans="2:12" x14ac:dyDescent="0.25">
      <c r="B86" s="7"/>
      <c r="C86" s="15"/>
      <c r="D86" s="7"/>
      <c r="E86" s="7">
        <v>3232</v>
      </c>
      <c r="F86" s="58" t="s">
        <v>126</v>
      </c>
      <c r="G86" s="65">
        <v>978690.95</v>
      </c>
      <c r="H86" s="73">
        <v>1815346</v>
      </c>
      <c r="I86" s="73">
        <v>1055727</v>
      </c>
      <c r="J86" s="65">
        <v>1284849.83</v>
      </c>
      <c r="K86" s="65">
        <f t="shared" si="8"/>
        <v>131.28248810311368</v>
      </c>
      <c r="L86" s="65">
        <f t="shared" si="9"/>
        <v>121.70284836894388</v>
      </c>
    </row>
    <row r="87" spans="2:12" x14ac:dyDescent="0.25">
      <c r="B87" s="7"/>
      <c r="C87" s="15"/>
      <c r="D87" s="7"/>
      <c r="E87" s="7">
        <v>3233</v>
      </c>
      <c r="F87" s="58" t="s">
        <v>127</v>
      </c>
      <c r="G87" s="65">
        <v>96670.77</v>
      </c>
      <c r="H87" s="73">
        <v>146488</v>
      </c>
      <c r="I87" s="73">
        <v>122750</v>
      </c>
      <c r="J87" s="65">
        <v>114919.98</v>
      </c>
      <c r="K87" s="65">
        <f t="shared" si="8"/>
        <v>118.87769177798005</v>
      </c>
      <c r="L87" s="65">
        <f t="shared" si="9"/>
        <v>93.621164969450092</v>
      </c>
    </row>
    <row r="88" spans="2:12" x14ac:dyDescent="0.25">
      <c r="B88" s="7"/>
      <c r="C88" s="15"/>
      <c r="D88" s="7"/>
      <c r="E88" s="7">
        <v>3234</v>
      </c>
      <c r="F88" s="58" t="s">
        <v>128</v>
      </c>
      <c r="G88" s="65">
        <v>322582.40999999997</v>
      </c>
      <c r="H88" s="73">
        <v>265631</v>
      </c>
      <c r="I88" s="73">
        <v>194336</v>
      </c>
      <c r="J88" s="65">
        <v>331741.94</v>
      </c>
      <c r="K88" s="65">
        <f t="shared" si="8"/>
        <v>102.83943876543051</v>
      </c>
      <c r="L88" s="65">
        <f t="shared" si="9"/>
        <v>170.70534538119546</v>
      </c>
    </row>
    <row r="89" spans="2:12" x14ac:dyDescent="0.25">
      <c r="B89" s="7"/>
      <c r="C89" s="15"/>
      <c r="D89" s="7"/>
      <c r="E89" s="7">
        <v>3235</v>
      </c>
      <c r="F89" s="58" t="s">
        <v>129</v>
      </c>
      <c r="G89" s="65">
        <v>25036.38</v>
      </c>
      <c r="H89" s="73">
        <v>31581</v>
      </c>
      <c r="I89" s="73">
        <v>10200</v>
      </c>
      <c r="J89" s="65">
        <v>1381.55</v>
      </c>
      <c r="K89" s="65">
        <f t="shared" si="8"/>
        <v>5.5181699590755526</v>
      </c>
      <c r="L89" s="65">
        <f t="shared" si="9"/>
        <v>13.544607843137255</v>
      </c>
    </row>
    <row r="90" spans="2:12" x14ac:dyDescent="0.25">
      <c r="B90" s="7"/>
      <c r="C90" s="15"/>
      <c r="D90" s="7"/>
      <c r="E90" s="7">
        <v>3236</v>
      </c>
      <c r="F90" s="58" t="s">
        <v>130</v>
      </c>
      <c r="G90" s="65">
        <v>31980.04</v>
      </c>
      <c r="H90" s="73">
        <v>46188</v>
      </c>
      <c r="I90" s="73">
        <v>44750</v>
      </c>
      <c r="J90" s="65">
        <v>29090.45</v>
      </c>
      <c r="K90" s="65">
        <f t="shared" si="8"/>
        <v>90.964395291563122</v>
      </c>
      <c r="L90" s="65">
        <f t="shared" si="9"/>
        <v>65.006592178770944</v>
      </c>
    </row>
    <row r="91" spans="2:12" x14ac:dyDescent="0.25">
      <c r="B91" s="7"/>
      <c r="C91" s="15"/>
      <c r="D91" s="7"/>
      <c r="E91" s="7">
        <v>3237</v>
      </c>
      <c r="F91" s="58" t="s">
        <v>131</v>
      </c>
      <c r="G91" s="65">
        <v>305443</v>
      </c>
      <c r="H91" s="73">
        <v>539068</v>
      </c>
      <c r="I91" s="73">
        <v>481460</v>
      </c>
      <c r="J91" s="65">
        <v>284794.42</v>
      </c>
      <c r="K91" s="65">
        <f t="shared" si="8"/>
        <v>93.239792694545301</v>
      </c>
      <c r="L91" s="65">
        <f t="shared" si="9"/>
        <v>59.152249408050508</v>
      </c>
    </row>
    <row r="92" spans="2:12" x14ac:dyDescent="0.25">
      <c r="B92" s="7"/>
      <c r="C92" s="15"/>
      <c r="D92" s="7"/>
      <c r="E92" s="7">
        <v>3238</v>
      </c>
      <c r="F92" s="58" t="s">
        <v>132</v>
      </c>
      <c r="G92" s="65">
        <v>142171.95000000001</v>
      </c>
      <c r="H92" s="73">
        <v>160085</v>
      </c>
      <c r="I92" s="73">
        <v>151478</v>
      </c>
      <c r="J92" s="65">
        <v>133450.97</v>
      </c>
      <c r="K92" s="65">
        <f t="shared" si="8"/>
        <v>93.865892674328506</v>
      </c>
      <c r="L92" s="65">
        <f t="shared" si="9"/>
        <v>88.099242134171291</v>
      </c>
    </row>
    <row r="93" spans="2:12" x14ac:dyDescent="0.25">
      <c r="B93" s="7"/>
      <c r="C93" s="15"/>
      <c r="D93" s="7"/>
      <c r="E93" s="7">
        <v>3239</v>
      </c>
      <c r="F93" s="58" t="s">
        <v>133</v>
      </c>
      <c r="G93" s="65">
        <v>257551.18</v>
      </c>
      <c r="H93" s="73">
        <v>214844</v>
      </c>
      <c r="I93" s="73">
        <v>199650</v>
      </c>
      <c r="J93" s="65">
        <v>232267.24</v>
      </c>
      <c r="K93" s="65">
        <f t="shared" si="8"/>
        <v>90.182945385845244</v>
      </c>
      <c r="L93" s="65">
        <f t="shared" si="9"/>
        <v>116.33721011770599</v>
      </c>
    </row>
    <row r="94" spans="2:12" x14ac:dyDescent="0.25">
      <c r="B94" s="7"/>
      <c r="C94" s="15"/>
      <c r="D94" s="7">
        <v>324</v>
      </c>
      <c r="E94" s="7"/>
      <c r="F94" s="58" t="s">
        <v>134</v>
      </c>
      <c r="G94" s="73">
        <f t="shared" ref="G94:J94" si="25">SUM(G95)</f>
        <v>1057.76</v>
      </c>
      <c r="H94" s="73">
        <f t="shared" si="25"/>
        <v>3318</v>
      </c>
      <c r="I94" s="73">
        <f t="shared" si="25"/>
        <v>3650</v>
      </c>
      <c r="J94" s="73">
        <f t="shared" si="25"/>
        <v>153.71</v>
      </c>
      <c r="K94" s="65">
        <f t="shared" si="8"/>
        <v>14.531651792467102</v>
      </c>
      <c r="L94" s="65">
        <f t="shared" si="9"/>
        <v>4.2112328767123293</v>
      </c>
    </row>
    <row r="95" spans="2:12" x14ac:dyDescent="0.25">
      <c r="B95" s="7"/>
      <c r="C95" s="15"/>
      <c r="D95" s="7"/>
      <c r="E95" s="7">
        <v>3241</v>
      </c>
      <c r="F95" s="58" t="s">
        <v>134</v>
      </c>
      <c r="G95" s="65">
        <v>1057.76</v>
      </c>
      <c r="H95" s="73">
        <v>3318</v>
      </c>
      <c r="I95" s="73">
        <v>3650</v>
      </c>
      <c r="J95" s="65">
        <v>153.71</v>
      </c>
      <c r="K95" s="65">
        <f t="shared" si="8"/>
        <v>14.531651792467102</v>
      </c>
      <c r="L95" s="65">
        <f t="shared" si="9"/>
        <v>4.2112328767123293</v>
      </c>
    </row>
    <row r="96" spans="2:12" ht="36.75" customHeight="1" x14ac:dyDescent="0.25">
      <c r="B96" s="110" t="s">
        <v>7</v>
      </c>
      <c r="C96" s="111"/>
      <c r="D96" s="111"/>
      <c r="E96" s="111"/>
      <c r="F96" s="112"/>
      <c r="G96" s="33" t="s">
        <v>202</v>
      </c>
      <c r="H96" s="33" t="s">
        <v>60</v>
      </c>
      <c r="I96" s="33" t="s">
        <v>215</v>
      </c>
      <c r="J96" s="33" t="s">
        <v>219</v>
      </c>
      <c r="K96" s="33" t="s">
        <v>28</v>
      </c>
      <c r="L96" s="33" t="s">
        <v>58</v>
      </c>
    </row>
    <row r="97" spans="2:12" x14ac:dyDescent="0.25">
      <c r="B97" s="113">
        <v>1</v>
      </c>
      <c r="C97" s="114"/>
      <c r="D97" s="114"/>
      <c r="E97" s="114"/>
      <c r="F97" s="115"/>
      <c r="G97" s="35">
        <v>2</v>
      </c>
      <c r="H97" s="35">
        <v>3</v>
      </c>
      <c r="I97" s="35">
        <v>3</v>
      </c>
      <c r="J97" s="35">
        <v>4</v>
      </c>
      <c r="K97" s="35" t="s">
        <v>208</v>
      </c>
      <c r="L97" s="35" t="s">
        <v>209</v>
      </c>
    </row>
    <row r="98" spans="2:12" x14ac:dyDescent="0.25">
      <c r="B98" s="7"/>
      <c r="C98" s="15"/>
      <c r="D98" s="7">
        <v>329</v>
      </c>
      <c r="E98" s="7"/>
      <c r="F98" s="58" t="s">
        <v>135</v>
      </c>
      <c r="G98" s="73">
        <f t="shared" ref="G98" si="26">SUM(G99:G105)</f>
        <v>487244.36</v>
      </c>
      <c r="H98" s="73">
        <f t="shared" ref="H98:J98" si="27">SUM(H99:H105)</f>
        <v>309908</v>
      </c>
      <c r="I98" s="73">
        <f t="shared" si="27"/>
        <v>430600</v>
      </c>
      <c r="J98" s="73">
        <f t="shared" si="27"/>
        <v>506118.19999999995</v>
      </c>
      <c r="K98" s="65">
        <f t="shared" si="8"/>
        <v>103.87358819299621</v>
      </c>
      <c r="L98" s="65">
        <f t="shared" si="9"/>
        <v>117.53790060380862</v>
      </c>
    </row>
    <row r="99" spans="2:12" x14ac:dyDescent="0.25">
      <c r="B99" s="7"/>
      <c r="C99" s="15"/>
      <c r="D99" s="7"/>
      <c r="E99" s="7">
        <v>3291</v>
      </c>
      <c r="F99" s="58" t="s">
        <v>136</v>
      </c>
      <c r="G99" s="65">
        <v>15124.52</v>
      </c>
      <c r="H99" s="73">
        <v>13272</v>
      </c>
      <c r="I99" s="73">
        <v>20000</v>
      </c>
      <c r="J99" s="65">
        <v>18013.21</v>
      </c>
      <c r="K99" s="65">
        <f t="shared" si="8"/>
        <v>119.09938298868327</v>
      </c>
      <c r="L99" s="65">
        <f t="shared" si="9"/>
        <v>90.066050000000004</v>
      </c>
    </row>
    <row r="100" spans="2:12" x14ac:dyDescent="0.25">
      <c r="B100" s="7"/>
      <c r="C100" s="15"/>
      <c r="D100" s="7"/>
      <c r="E100" s="7">
        <v>3292</v>
      </c>
      <c r="F100" s="58" t="s">
        <v>137</v>
      </c>
      <c r="G100" s="65">
        <v>91926.88</v>
      </c>
      <c r="H100" s="73">
        <v>85606</v>
      </c>
      <c r="I100" s="73">
        <v>102500</v>
      </c>
      <c r="J100" s="65">
        <v>91030.43</v>
      </c>
      <c r="K100" s="65">
        <f t="shared" si="8"/>
        <v>99.024822772185885</v>
      </c>
      <c r="L100" s="65">
        <f t="shared" si="9"/>
        <v>88.810175609756087</v>
      </c>
    </row>
    <row r="101" spans="2:12" x14ac:dyDescent="0.25">
      <c r="B101" s="7"/>
      <c r="C101" s="15"/>
      <c r="D101" s="7"/>
      <c r="E101" s="7">
        <v>3293</v>
      </c>
      <c r="F101" s="58" t="s">
        <v>138</v>
      </c>
      <c r="G101" s="65">
        <v>10943.01</v>
      </c>
      <c r="H101" s="73">
        <v>22563</v>
      </c>
      <c r="I101" s="73">
        <v>19500</v>
      </c>
      <c r="J101" s="65">
        <v>11634.77</v>
      </c>
      <c r="K101" s="65">
        <f t="shared" si="8"/>
        <v>106.32147827700058</v>
      </c>
      <c r="L101" s="65">
        <f t="shared" si="9"/>
        <v>59.665487179487187</v>
      </c>
    </row>
    <row r="102" spans="2:12" x14ac:dyDescent="0.25">
      <c r="B102" s="7"/>
      <c r="C102" s="15"/>
      <c r="D102" s="7"/>
      <c r="E102" s="7">
        <v>3294</v>
      </c>
      <c r="F102" s="58" t="s">
        <v>139</v>
      </c>
      <c r="G102" s="65">
        <v>1289.29</v>
      </c>
      <c r="H102" s="73">
        <v>1328</v>
      </c>
      <c r="I102" s="73">
        <v>2100</v>
      </c>
      <c r="J102" s="65">
        <v>1228.0999999999999</v>
      </c>
      <c r="K102" s="65">
        <f t="shared" si="8"/>
        <v>95.253976995090312</v>
      </c>
      <c r="L102" s="65">
        <f t="shared" si="9"/>
        <v>58.480952380952381</v>
      </c>
    </row>
    <row r="103" spans="2:12" x14ac:dyDescent="0.25">
      <c r="B103" s="7"/>
      <c r="C103" s="15"/>
      <c r="D103" s="7"/>
      <c r="E103" s="7">
        <v>3295</v>
      </c>
      <c r="F103" s="58" t="s">
        <v>140</v>
      </c>
      <c r="G103" s="65">
        <v>246560.62</v>
      </c>
      <c r="H103" s="73">
        <v>106178</v>
      </c>
      <c r="I103" s="73">
        <v>150000</v>
      </c>
      <c r="J103" s="65">
        <v>247428.79</v>
      </c>
      <c r="K103" s="65">
        <f t="shared" si="8"/>
        <v>100.35211219050308</v>
      </c>
      <c r="L103" s="65">
        <f t="shared" si="9"/>
        <v>164.95252666666667</v>
      </c>
    </row>
    <row r="104" spans="2:12" x14ac:dyDescent="0.25">
      <c r="B104" s="7"/>
      <c r="C104" s="15"/>
      <c r="D104" s="7"/>
      <c r="E104" s="7">
        <v>3296</v>
      </c>
      <c r="F104" s="58" t="s">
        <v>141</v>
      </c>
      <c r="G104" s="65">
        <v>0</v>
      </c>
      <c r="H104" s="73">
        <v>1327</v>
      </c>
      <c r="I104" s="73">
        <v>1500</v>
      </c>
      <c r="J104" s="65">
        <v>1767.24</v>
      </c>
      <c r="K104" s="65"/>
      <c r="L104" s="65">
        <f t="shared" si="9"/>
        <v>117.816</v>
      </c>
    </row>
    <row r="105" spans="2:12" x14ac:dyDescent="0.25">
      <c r="B105" s="7"/>
      <c r="C105" s="15"/>
      <c r="D105" s="8"/>
      <c r="E105" s="7">
        <v>3299</v>
      </c>
      <c r="F105" s="58" t="s">
        <v>135</v>
      </c>
      <c r="G105" s="65">
        <v>121400.04</v>
      </c>
      <c r="H105" s="73">
        <v>79634</v>
      </c>
      <c r="I105" s="73">
        <v>135000</v>
      </c>
      <c r="J105" s="65">
        <v>135015.66</v>
      </c>
      <c r="K105" s="65">
        <f t="shared" si="8"/>
        <v>111.21549877578293</v>
      </c>
      <c r="L105" s="65">
        <f t="shared" si="9"/>
        <v>100.0116</v>
      </c>
    </row>
    <row r="106" spans="2:12" x14ac:dyDescent="0.25">
      <c r="B106" s="7"/>
      <c r="C106" s="15">
        <v>34</v>
      </c>
      <c r="D106" s="7"/>
      <c r="E106" s="7"/>
      <c r="F106" s="58" t="s">
        <v>142</v>
      </c>
      <c r="G106" s="73">
        <f>SUM(G107,G109)</f>
        <v>17341.45</v>
      </c>
      <c r="H106" s="73">
        <f>SUM(H107,H109)</f>
        <v>15928</v>
      </c>
      <c r="I106" s="73">
        <f>SUM(I107,I109)</f>
        <v>15500</v>
      </c>
      <c r="J106" s="73">
        <f>SUM(J107,J109)</f>
        <v>26739.329999999998</v>
      </c>
      <c r="K106" s="65">
        <f t="shared" si="8"/>
        <v>154.19316147150323</v>
      </c>
      <c r="L106" s="65">
        <f t="shared" si="9"/>
        <v>172.51180645161287</v>
      </c>
    </row>
    <row r="107" spans="2:12" x14ac:dyDescent="0.25">
      <c r="B107" s="7"/>
      <c r="C107" s="15"/>
      <c r="D107" s="7">
        <v>341</v>
      </c>
      <c r="E107" s="7"/>
      <c r="F107" s="58" t="s">
        <v>143</v>
      </c>
      <c r="G107" s="73">
        <f t="shared" ref="G107" si="28">SUM(G108)</f>
        <v>0</v>
      </c>
      <c r="H107" s="73">
        <f t="shared" ref="H107:J107" si="29">SUM(H108)</f>
        <v>0</v>
      </c>
      <c r="I107" s="73">
        <f t="shared" si="29"/>
        <v>0</v>
      </c>
      <c r="J107" s="73">
        <f t="shared" si="29"/>
        <v>0</v>
      </c>
      <c r="K107" s="65"/>
      <c r="L107" s="65"/>
    </row>
    <row r="108" spans="2:12" x14ac:dyDescent="0.25">
      <c r="B108" s="7"/>
      <c r="C108" s="15"/>
      <c r="D108" s="7"/>
      <c r="E108" s="7">
        <v>3411</v>
      </c>
      <c r="F108" s="58" t="s">
        <v>144</v>
      </c>
      <c r="G108" s="73"/>
      <c r="H108" s="73"/>
      <c r="I108" s="73"/>
      <c r="J108" s="65"/>
      <c r="K108" s="65"/>
      <c r="L108" s="65"/>
    </row>
    <row r="109" spans="2:12" x14ac:dyDescent="0.25">
      <c r="B109" s="7"/>
      <c r="C109" s="15"/>
      <c r="D109" s="7">
        <v>343</v>
      </c>
      <c r="E109" s="7"/>
      <c r="F109" s="58" t="s">
        <v>145</v>
      </c>
      <c r="G109" s="73">
        <f t="shared" ref="G109" si="30">SUM(G110:G112)</f>
        <v>17341.45</v>
      </c>
      <c r="H109" s="73">
        <f t="shared" ref="H109:J109" si="31">SUM(H110:H112)</f>
        <v>15928</v>
      </c>
      <c r="I109" s="73">
        <f t="shared" si="31"/>
        <v>15500</v>
      </c>
      <c r="J109" s="73">
        <f t="shared" si="31"/>
        <v>26739.329999999998</v>
      </c>
      <c r="K109" s="65">
        <f t="shared" si="8"/>
        <v>154.19316147150323</v>
      </c>
      <c r="L109" s="65">
        <f t="shared" si="9"/>
        <v>172.51180645161287</v>
      </c>
    </row>
    <row r="110" spans="2:12" x14ac:dyDescent="0.25">
      <c r="B110" s="7"/>
      <c r="C110" s="15"/>
      <c r="D110" s="7"/>
      <c r="E110" s="7">
        <v>3431</v>
      </c>
      <c r="F110" s="58" t="s">
        <v>146</v>
      </c>
      <c r="G110" s="65">
        <v>15756.61</v>
      </c>
      <c r="H110" s="73">
        <v>14600</v>
      </c>
      <c r="I110" s="73">
        <v>14500</v>
      </c>
      <c r="J110" s="65">
        <v>16880.599999999999</v>
      </c>
      <c r="K110" s="65">
        <f t="shared" si="8"/>
        <v>107.13345065975484</v>
      </c>
      <c r="L110" s="65">
        <f t="shared" si="9"/>
        <v>116.41793103448275</v>
      </c>
    </row>
    <row r="111" spans="2:12" x14ac:dyDescent="0.25">
      <c r="B111" s="7"/>
      <c r="C111" s="15"/>
      <c r="D111" s="7"/>
      <c r="E111" s="7">
        <v>3432</v>
      </c>
      <c r="F111" s="58" t="s">
        <v>147</v>
      </c>
      <c r="G111" s="65">
        <v>912.84</v>
      </c>
      <c r="H111" s="73">
        <v>664</v>
      </c>
      <c r="I111" s="73">
        <v>500</v>
      </c>
      <c r="J111" s="65">
        <v>489.66</v>
      </c>
      <c r="K111" s="65">
        <f t="shared" si="8"/>
        <v>53.641382936768764</v>
      </c>
      <c r="L111" s="65">
        <f t="shared" si="9"/>
        <v>97.932000000000002</v>
      </c>
    </row>
    <row r="112" spans="2:12" x14ac:dyDescent="0.25">
      <c r="B112" s="7"/>
      <c r="C112" s="7"/>
      <c r="D112" s="7"/>
      <c r="E112" s="7">
        <v>3433</v>
      </c>
      <c r="F112" s="58" t="s">
        <v>148</v>
      </c>
      <c r="G112" s="65">
        <v>672</v>
      </c>
      <c r="H112" s="73">
        <v>664</v>
      </c>
      <c r="I112" s="73">
        <v>500</v>
      </c>
      <c r="J112" s="65">
        <v>9369.07</v>
      </c>
      <c r="K112" s="65">
        <f t="shared" si="8"/>
        <v>1394.2068452380952</v>
      </c>
      <c r="L112" s="65">
        <f t="shared" si="9"/>
        <v>1873.8139999999999</v>
      </c>
    </row>
    <row r="113" spans="2:12" x14ac:dyDescent="0.25">
      <c r="B113" s="7"/>
      <c r="C113" s="15">
        <v>36</v>
      </c>
      <c r="D113" s="7"/>
      <c r="E113" s="7"/>
      <c r="F113" s="58" t="s">
        <v>149</v>
      </c>
      <c r="G113" s="73">
        <f t="shared" ref="G113:J114" si="32">SUM(G114)</f>
        <v>161549.87</v>
      </c>
      <c r="H113" s="73">
        <f t="shared" si="32"/>
        <v>119451</v>
      </c>
      <c r="I113" s="73">
        <f t="shared" si="32"/>
        <v>85000</v>
      </c>
      <c r="J113" s="73">
        <f t="shared" si="32"/>
        <v>81164.460000000006</v>
      </c>
      <c r="K113" s="65">
        <f t="shared" si="8"/>
        <v>50.241117495173484</v>
      </c>
      <c r="L113" s="65">
        <f t="shared" si="9"/>
        <v>95.4876</v>
      </c>
    </row>
    <row r="114" spans="2:12" x14ac:dyDescent="0.25">
      <c r="B114" s="7"/>
      <c r="C114" s="7"/>
      <c r="D114" s="7">
        <v>369</v>
      </c>
      <c r="E114" s="7"/>
      <c r="F114" s="58" t="s">
        <v>79</v>
      </c>
      <c r="G114" s="73">
        <f t="shared" si="32"/>
        <v>161549.87</v>
      </c>
      <c r="H114" s="73">
        <f t="shared" si="32"/>
        <v>119451</v>
      </c>
      <c r="I114" s="73">
        <f t="shared" si="32"/>
        <v>85000</v>
      </c>
      <c r="J114" s="73">
        <f t="shared" si="32"/>
        <v>81164.460000000006</v>
      </c>
      <c r="K114" s="65">
        <f t="shared" si="8"/>
        <v>50.241117495173484</v>
      </c>
      <c r="L114" s="65">
        <f t="shared" si="9"/>
        <v>95.4876</v>
      </c>
    </row>
    <row r="115" spans="2:12" x14ac:dyDescent="0.25">
      <c r="B115" s="7"/>
      <c r="C115" s="7"/>
      <c r="D115" s="8"/>
      <c r="E115" s="7">
        <v>3691</v>
      </c>
      <c r="F115" s="58" t="s">
        <v>80</v>
      </c>
      <c r="G115" s="65">
        <v>161549.87</v>
      </c>
      <c r="H115" s="73">
        <v>119451</v>
      </c>
      <c r="I115" s="73">
        <v>85000</v>
      </c>
      <c r="J115" s="65">
        <v>81164.460000000006</v>
      </c>
      <c r="K115" s="65">
        <f t="shared" si="8"/>
        <v>50.241117495173484</v>
      </c>
      <c r="L115" s="65">
        <f t="shared" si="9"/>
        <v>95.4876</v>
      </c>
    </row>
    <row r="116" spans="2:12" x14ac:dyDescent="0.25">
      <c r="B116" s="7"/>
      <c r="C116" s="15">
        <v>37</v>
      </c>
      <c r="D116" s="7"/>
      <c r="E116" s="7"/>
      <c r="F116" s="58" t="s">
        <v>150</v>
      </c>
      <c r="G116" s="73">
        <f t="shared" ref="G116:J117" si="33">SUM(G117)</f>
        <v>3544.61</v>
      </c>
      <c r="H116" s="73">
        <f t="shared" si="33"/>
        <v>3982</v>
      </c>
      <c r="I116" s="73">
        <f t="shared" si="33"/>
        <v>0</v>
      </c>
      <c r="J116" s="73">
        <f t="shared" si="33"/>
        <v>690.15</v>
      </c>
      <c r="K116" s="65">
        <f t="shared" si="8"/>
        <v>19.470407181608131</v>
      </c>
      <c r="L116" s="65"/>
    </row>
    <row r="117" spans="2:12" x14ac:dyDescent="0.25">
      <c r="B117" s="7"/>
      <c r="C117" s="7"/>
      <c r="D117" s="7">
        <v>372</v>
      </c>
      <c r="E117" s="7"/>
      <c r="F117" s="58" t="s">
        <v>151</v>
      </c>
      <c r="G117" s="73">
        <f t="shared" si="33"/>
        <v>3544.61</v>
      </c>
      <c r="H117" s="73">
        <f t="shared" si="33"/>
        <v>3982</v>
      </c>
      <c r="I117" s="73">
        <f t="shared" si="33"/>
        <v>0</v>
      </c>
      <c r="J117" s="73">
        <f t="shared" si="33"/>
        <v>690.15</v>
      </c>
      <c r="K117" s="65">
        <f t="shared" si="8"/>
        <v>19.470407181608131</v>
      </c>
      <c r="L117" s="65"/>
    </row>
    <row r="118" spans="2:12" x14ac:dyDescent="0.25">
      <c r="B118" s="7"/>
      <c r="C118" s="7"/>
      <c r="D118" s="8"/>
      <c r="E118" s="7">
        <v>3721</v>
      </c>
      <c r="F118" s="58" t="s">
        <v>152</v>
      </c>
      <c r="G118" s="65">
        <v>3544.61</v>
      </c>
      <c r="H118" s="73">
        <v>3982</v>
      </c>
      <c r="I118" s="73">
        <v>0</v>
      </c>
      <c r="J118" s="65">
        <v>690.15</v>
      </c>
      <c r="K118" s="65">
        <f t="shared" si="8"/>
        <v>19.470407181608131</v>
      </c>
      <c r="L118" s="65"/>
    </row>
    <row r="119" spans="2:12" x14ac:dyDescent="0.25">
      <c r="B119" s="7"/>
      <c r="C119" s="15">
        <v>38</v>
      </c>
      <c r="D119" s="8"/>
      <c r="E119" s="7"/>
      <c r="F119" s="58" t="s">
        <v>97</v>
      </c>
      <c r="G119" s="73">
        <f t="shared" ref="G119:J120" si="34">SUM(G120)</f>
        <v>0</v>
      </c>
      <c r="H119" s="73">
        <f t="shared" si="34"/>
        <v>664</v>
      </c>
      <c r="I119" s="73">
        <f t="shared" si="34"/>
        <v>500</v>
      </c>
      <c r="J119" s="73">
        <f t="shared" si="34"/>
        <v>0</v>
      </c>
      <c r="K119" s="65"/>
      <c r="L119" s="65">
        <f t="shared" si="9"/>
        <v>0</v>
      </c>
    </row>
    <row r="120" spans="2:12" x14ac:dyDescent="0.25">
      <c r="B120" s="7"/>
      <c r="C120" s="7"/>
      <c r="D120" s="7">
        <v>383</v>
      </c>
      <c r="E120" s="7"/>
      <c r="F120" s="58" t="s">
        <v>97</v>
      </c>
      <c r="G120" s="73">
        <f t="shared" si="34"/>
        <v>0</v>
      </c>
      <c r="H120" s="73">
        <f t="shared" si="34"/>
        <v>664</v>
      </c>
      <c r="I120" s="73">
        <f t="shared" si="34"/>
        <v>500</v>
      </c>
      <c r="J120" s="73">
        <f t="shared" si="34"/>
        <v>0</v>
      </c>
      <c r="K120" s="65"/>
      <c r="L120" s="65">
        <f t="shared" si="9"/>
        <v>0</v>
      </c>
    </row>
    <row r="121" spans="2:12" x14ac:dyDescent="0.25">
      <c r="B121" s="7"/>
      <c r="C121" s="7"/>
      <c r="D121" s="8"/>
      <c r="E121" s="7">
        <v>3835</v>
      </c>
      <c r="F121" s="58" t="s">
        <v>97</v>
      </c>
      <c r="G121" s="65">
        <v>0</v>
      </c>
      <c r="H121" s="73">
        <v>664</v>
      </c>
      <c r="I121" s="73">
        <v>500</v>
      </c>
      <c r="J121" s="65">
        <v>0</v>
      </c>
      <c r="K121" s="65"/>
      <c r="L121" s="65">
        <f t="shared" si="9"/>
        <v>0</v>
      </c>
    </row>
    <row r="122" spans="2:12" x14ac:dyDescent="0.25">
      <c r="B122" s="9">
        <v>4</v>
      </c>
      <c r="C122" s="9"/>
      <c r="D122" s="9"/>
      <c r="E122" s="9"/>
      <c r="F122" s="63" t="s">
        <v>6</v>
      </c>
      <c r="G122" s="76">
        <f t="shared" ref="G122" si="35">SUM(G123,G146)</f>
        <v>388485.31</v>
      </c>
      <c r="H122" s="76">
        <f>SUM(H123,H146)</f>
        <v>866477</v>
      </c>
      <c r="I122" s="76">
        <f>SUM(I123,I146)</f>
        <v>450495</v>
      </c>
      <c r="J122" s="76">
        <f>SUM(J123,J146)</f>
        <v>364026.07</v>
      </c>
      <c r="K122" s="65">
        <f t="shared" si="8"/>
        <v>93.703947261223348</v>
      </c>
      <c r="L122" s="65">
        <f t="shared" si="9"/>
        <v>80.805795846790744</v>
      </c>
    </row>
    <row r="123" spans="2:12" x14ac:dyDescent="0.25">
      <c r="B123" s="10"/>
      <c r="C123" s="10">
        <v>42</v>
      </c>
      <c r="D123" s="10"/>
      <c r="E123" s="10"/>
      <c r="F123" s="58" t="s">
        <v>153</v>
      </c>
      <c r="G123" s="73">
        <f>SUM(G124,G127,G135,G137,G140,G142)</f>
        <v>380172.96</v>
      </c>
      <c r="H123" s="73">
        <f t="shared" ref="H123:J123" si="36">SUM(H124,H127,H135,H137,H140,H142)</f>
        <v>854159</v>
      </c>
      <c r="I123" s="73">
        <f t="shared" si="36"/>
        <v>431080</v>
      </c>
      <c r="J123" s="73">
        <f t="shared" si="36"/>
        <v>341167.44</v>
      </c>
      <c r="K123" s="65">
        <f t="shared" si="8"/>
        <v>89.740059366663004</v>
      </c>
      <c r="L123" s="65">
        <f t="shared" si="9"/>
        <v>79.14248863320033</v>
      </c>
    </row>
    <row r="124" spans="2:12" x14ac:dyDescent="0.25">
      <c r="B124" s="10"/>
      <c r="C124" s="10"/>
      <c r="D124" s="7">
        <v>421</v>
      </c>
      <c r="E124" s="7"/>
      <c r="F124" s="58" t="s">
        <v>154</v>
      </c>
      <c r="G124" s="73">
        <f t="shared" ref="G124" si="37">SUM(G125:G126)</f>
        <v>29605.3</v>
      </c>
      <c r="H124" s="73">
        <f t="shared" ref="H124:J124" si="38">SUM(H125:H126)</f>
        <v>162441</v>
      </c>
      <c r="I124" s="73">
        <f t="shared" si="38"/>
        <v>7850</v>
      </c>
      <c r="J124" s="73">
        <f t="shared" si="38"/>
        <v>4000</v>
      </c>
      <c r="K124" s="65">
        <f t="shared" si="8"/>
        <v>13.511094297304874</v>
      </c>
      <c r="L124" s="65">
        <f t="shared" si="9"/>
        <v>50.955414012738856</v>
      </c>
    </row>
    <row r="125" spans="2:12" x14ac:dyDescent="0.25">
      <c r="B125" s="10"/>
      <c r="C125" s="10"/>
      <c r="D125" s="7"/>
      <c r="E125" s="7">
        <v>4212</v>
      </c>
      <c r="F125" s="58" t="s">
        <v>155</v>
      </c>
      <c r="G125" s="65">
        <v>8132.48</v>
      </c>
      <c r="H125" s="73">
        <v>24554</v>
      </c>
      <c r="I125" s="81">
        <v>4000</v>
      </c>
      <c r="J125" s="65">
        <v>4000</v>
      </c>
      <c r="K125" s="65">
        <f t="shared" si="8"/>
        <v>49.185488313527983</v>
      </c>
      <c r="L125" s="65">
        <f t="shared" si="9"/>
        <v>100</v>
      </c>
    </row>
    <row r="126" spans="2:12" x14ac:dyDescent="0.25">
      <c r="B126" s="10"/>
      <c r="C126" s="10"/>
      <c r="D126" s="7"/>
      <c r="E126" s="7">
        <v>4214</v>
      </c>
      <c r="F126" s="58" t="s">
        <v>156</v>
      </c>
      <c r="G126" s="65">
        <v>21472.82</v>
      </c>
      <c r="H126" s="73">
        <v>137887</v>
      </c>
      <c r="I126" s="81">
        <v>3850</v>
      </c>
      <c r="J126" s="65">
        <v>0</v>
      </c>
      <c r="K126" s="65">
        <f t="shared" si="8"/>
        <v>0</v>
      </c>
      <c r="L126" s="65">
        <f t="shared" si="9"/>
        <v>0</v>
      </c>
    </row>
    <row r="127" spans="2:12" x14ac:dyDescent="0.25">
      <c r="B127" s="10"/>
      <c r="C127" s="10"/>
      <c r="D127" s="7">
        <v>422</v>
      </c>
      <c r="E127" s="7"/>
      <c r="F127" s="58" t="s">
        <v>157</v>
      </c>
      <c r="G127" s="73">
        <f t="shared" ref="G127" si="39">SUM(G128:G134)</f>
        <v>320007.66000000003</v>
      </c>
      <c r="H127" s="73">
        <f t="shared" ref="H127:J127" si="40">SUM(H128:H134)</f>
        <v>551310</v>
      </c>
      <c r="I127" s="73">
        <f t="shared" si="40"/>
        <v>315730</v>
      </c>
      <c r="J127" s="73">
        <f t="shared" si="40"/>
        <v>269168.92</v>
      </c>
      <c r="K127" s="65">
        <f t="shared" ref="K127:K150" si="41">J127/G127*100</f>
        <v>84.113274038502695</v>
      </c>
      <c r="L127" s="65">
        <f t="shared" ref="L127:L148" si="42">J127/I127*100</f>
        <v>85.252880625851205</v>
      </c>
    </row>
    <row r="128" spans="2:12" x14ac:dyDescent="0.25">
      <c r="B128" s="10"/>
      <c r="C128" s="10"/>
      <c r="D128" s="7"/>
      <c r="E128" s="7">
        <v>4221</v>
      </c>
      <c r="F128" s="58" t="s">
        <v>158</v>
      </c>
      <c r="G128" s="65">
        <v>26950.38</v>
      </c>
      <c r="H128" s="73">
        <v>38223</v>
      </c>
      <c r="I128" s="81">
        <v>33200</v>
      </c>
      <c r="J128" s="65">
        <v>22531.17</v>
      </c>
      <c r="K128" s="65">
        <f t="shared" si="41"/>
        <v>83.602420448245979</v>
      </c>
      <c r="L128" s="65">
        <f t="shared" si="42"/>
        <v>67.864969879518071</v>
      </c>
    </row>
    <row r="129" spans="2:12" x14ac:dyDescent="0.25">
      <c r="B129" s="10"/>
      <c r="C129" s="10"/>
      <c r="D129" s="7"/>
      <c r="E129" s="7">
        <v>4222</v>
      </c>
      <c r="F129" s="58" t="s">
        <v>159</v>
      </c>
      <c r="G129" s="65">
        <v>41900.879999999997</v>
      </c>
      <c r="H129" s="73">
        <v>43858</v>
      </c>
      <c r="I129" s="81">
        <v>26000</v>
      </c>
      <c r="J129" s="65">
        <v>23261.27</v>
      </c>
      <c r="K129" s="65">
        <f t="shared" si="41"/>
        <v>55.514991570582772</v>
      </c>
      <c r="L129" s="65">
        <f t="shared" si="42"/>
        <v>89.466423076923078</v>
      </c>
    </row>
    <row r="130" spans="2:12" x14ac:dyDescent="0.25">
      <c r="B130" s="10"/>
      <c r="C130" s="10"/>
      <c r="D130" s="7"/>
      <c r="E130" s="7">
        <v>4223</v>
      </c>
      <c r="F130" s="58" t="s">
        <v>160</v>
      </c>
      <c r="G130" s="65">
        <v>58693.71</v>
      </c>
      <c r="H130" s="73">
        <v>185667</v>
      </c>
      <c r="I130" s="81">
        <v>65600</v>
      </c>
      <c r="J130" s="65">
        <v>82397.39</v>
      </c>
      <c r="K130" s="65">
        <f t="shared" si="41"/>
        <v>140.3853837148819</v>
      </c>
      <c r="L130" s="65">
        <f t="shared" si="42"/>
        <v>125.60577743902439</v>
      </c>
    </row>
    <row r="131" spans="2:12" x14ac:dyDescent="0.25">
      <c r="B131" s="10"/>
      <c r="C131" s="10"/>
      <c r="D131" s="7"/>
      <c r="E131" s="7">
        <v>4224</v>
      </c>
      <c r="F131" s="58" t="s">
        <v>161</v>
      </c>
      <c r="G131" s="65">
        <v>2449.13</v>
      </c>
      <c r="H131" s="73">
        <v>4154</v>
      </c>
      <c r="I131" s="81">
        <v>1000</v>
      </c>
      <c r="J131" s="65">
        <v>0</v>
      </c>
      <c r="K131" s="65">
        <f t="shared" si="41"/>
        <v>0</v>
      </c>
      <c r="L131" s="65">
        <f t="shared" si="42"/>
        <v>0</v>
      </c>
    </row>
    <row r="132" spans="2:12" x14ac:dyDescent="0.25">
      <c r="B132" s="10"/>
      <c r="C132" s="10"/>
      <c r="D132" s="7"/>
      <c r="E132" s="7">
        <v>4225</v>
      </c>
      <c r="F132" s="58" t="s">
        <v>162</v>
      </c>
      <c r="G132" s="65">
        <v>12405.78</v>
      </c>
      <c r="H132" s="73">
        <v>49820</v>
      </c>
      <c r="I132" s="81">
        <v>55750</v>
      </c>
      <c r="J132" s="65">
        <v>17109.7</v>
      </c>
      <c r="K132" s="65">
        <f t="shared" si="41"/>
        <v>137.91716441852105</v>
      </c>
      <c r="L132" s="65">
        <f t="shared" si="42"/>
        <v>30.690044843049328</v>
      </c>
    </row>
    <row r="133" spans="2:12" x14ac:dyDescent="0.25">
      <c r="B133" s="10"/>
      <c r="C133" s="10"/>
      <c r="D133" s="7"/>
      <c r="E133" s="7">
        <v>4226</v>
      </c>
      <c r="F133" s="58" t="s">
        <v>163</v>
      </c>
      <c r="G133" s="65">
        <v>1438.84</v>
      </c>
      <c r="H133" s="73">
        <v>4418</v>
      </c>
      <c r="I133" s="81">
        <v>10000</v>
      </c>
      <c r="J133" s="65">
        <v>5200</v>
      </c>
      <c r="K133" s="65">
        <f t="shared" si="41"/>
        <v>361.40224069389234</v>
      </c>
      <c r="L133" s="65">
        <f t="shared" si="42"/>
        <v>52</v>
      </c>
    </row>
    <row r="134" spans="2:12" x14ac:dyDescent="0.25">
      <c r="B134" s="10"/>
      <c r="C134" s="10"/>
      <c r="D134" s="7"/>
      <c r="E134" s="7">
        <v>4227</v>
      </c>
      <c r="F134" s="58" t="s">
        <v>108</v>
      </c>
      <c r="G134" s="65">
        <v>176168.94</v>
      </c>
      <c r="H134" s="73">
        <v>225170</v>
      </c>
      <c r="I134" s="81">
        <v>124180</v>
      </c>
      <c r="J134" s="65">
        <v>118669.39</v>
      </c>
      <c r="K134" s="65">
        <f t="shared" si="41"/>
        <v>67.361130741889014</v>
      </c>
      <c r="L134" s="65">
        <f t="shared" si="42"/>
        <v>95.562401352874858</v>
      </c>
    </row>
    <row r="135" spans="2:12" x14ac:dyDescent="0.25">
      <c r="B135" s="10"/>
      <c r="C135" s="10"/>
      <c r="D135" s="7">
        <v>423</v>
      </c>
      <c r="E135" s="7"/>
      <c r="F135" s="58" t="s">
        <v>164</v>
      </c>
      <c r="G135" s="73">
        <f t="shared" ref="G135:J135" si="43">SUM(G136)</f>
        <v>30560</v>
      </c>
      <c r="H135" s="73">
        <f t="shared" si="43"/>
        <v>74312</v>
      </c>
      <c r="I135" s="73">
        <f t="shared" si="43"/>
        <v>90000</v>
      </c>
      <c r="J135" s="73">
        <f t="shared" si="43"/>
        <v>56198.52</v>
      </c>
      <c r="K135" s="65">
        <f t="shared" si="41"/>
        <v>183.89568062827223</v>
      </c>
      <c r="L135" s="65">
        <f t="shared" si="42"/>
        <v>62.442799999999998</v>
      </c>
    </row>
    <row r="136" spans="2:12" x14ac:dyDescent="0.25">
      <c r="B136" s="10"/>
      <c r="C136" s="10"/>
      <c r="D136" s="7"/>
      <c r="E136" s="7">
        <v>4231</v>
      </c>
      <c r="F136" s="58" t="s">
        <v>100</v>
      </c>
      <c r="G136" s="65">
        <v>30560</v>
      </c>
      <c r="H136" s="73">
        <v>74312</v>
      </c>
      <c r="I136" s="81">
        <v>90000</v>
      </c>
      <c r="J136" s="65">
        <v>56198.52</v>
      </c>
      <c r="K136" s="65">
        <f t="shared" si="41"/>
        <v>183.89568062827223</v>
      </c>
      <c r="L136" s="65">
        <f t="shared" si="42"/>
        <v>62.442799999999998</v>
      </c>
    </row>
    <row r="137" spans="2:12" x14ac:dyDescent="0.25">
      <c r="B137" s="10"/>
      <c r="C137" s="10"/>
      <c r="D137" s="7">
        <v>424</v>
      </c>
      <c r="E137" s="7"/>
      <c r="F137" s="58" t="s">
        <v>227</v>
      </c>
      <c r="G137" s="73">
        <f t="shared" ref="G137" si="44">SUM(G138:G139)</f>
        <v>0</v>
      </c>
      <c r="H137" s="73">
        <f t="shared" ref="H137:J137" si="45">SUM(H138:H139)</f>
        <v>0</v>
      </c>
      <c r="I137" s="73">
        <f t="shared" si="45"/>
        <v>9000</v>
      </c>
      <c r="J137" s="73">
        <f t="shared" si="45"/>
        <v>11800</v>
      </c>
      <c r="K137" s="65" t="e">
        <f t="shared" si="41"/>
        <v>#DIV/0!</v>
      </c>
      <c r="L137" s="65">
        <f t="shared" si="42"/>
        <v>131.11111111111111</v>
      </c>
    </row>
    <row r="138" spans="2:12" x14ac:dyDescent="0.25">
      <c r="B138" s="10"/>
      <c r="C138" s="10"/>
      <c r="D138" s="7"/>
      <c r="E138" s="7">
        <v>4242</v>
      </c>
      <c r="F138" s="58" t="s">
        <v>203</v>
      </c>
      <c r="G138" s="65"/>
      <c r="H138" s="73"/>
      <c r="I138" s="81">
        <v>9000</v>
      </c>
      <c r="J138" s="65">
        <v>11800</v>
      </c>
      <c r="K138" s="65" t="e">
        <f t="shared" si="41"/>
        <v>#DIV/0!</v>
      </c>
      <c r="L138" s="65">
        <f t="shared" si="42"/>
        <v>131.11111111111111</v>
      </c>
    </row>
    <row r="139" spans="2:12" x14ac:dyDescent="0.25">
      <c r="B139" s="10"/>
      <c r="C139" s="10"/>
      <c r="D139" s="7"/>
      <c r="E139" s="7">
        <v>4243</v>
      </c>
      <c r="F139" s="58" t="s">
        <v>204</v>
      </c>
      <c r="G139" s="65"/>
      <c r="H139" s="73"/>
      <c r="I139" s="81"/>
      <c r="J139" s="65"/>
      <c r="K139" s="65" t="e">
        <f t="shared" si="41"/>
        <v>#DIV/0!</v>
      </c>
      <c r="L139" s="65"/>
    </row>
    <row r="140" spans="2:12" x14ac:dyDescent="0.25">
      <c r="B140" s="10"/>
      <c r="C140" s="10"/>
      <c r="D140" s="7">
        <v>425</v>
      </c>
      <c r="E140" s="7"/>
      <c r="F140" s="58" t="s">
        <v>102</v>
      </c>
      <c r="G140" s="73">
        <f t="shared" ref="G140:J142" si="46">SUM(G141)</f>
        <v>0</v>
      </c>
      <c r="H140" s="73">
        <f>SUM(H141)</f>
        <v>33048</v>
      </c>
      <c r="I140" s="73">
        <f t="shared" si="46"/>
        <v>6600</v>
      </c>
      <c r="J140" s="73">
        <f t="shared" si="46"/>
        <v>0</v>
      </c>
      <c r="K140" s="65" t="e">
        <f t="shared" si="41"/>
        <v>#DIV/0!</v>
      </c>
      <c r="L140" s="65">
        <f t="shared" si="42"/>
        <v>0</v>
      </c>
    </row>
    <row r="141" spans="2:12" x14ac:dyDescent="0.25">
      <c r="B141" s="10"/>
      <c r="C141" s="10"/>
      <c r="D141" s="7"/>
      <c r="E141" s="7">
        <v>4252</v>
      </c>
      <c r="F141" s="58" t="s">
        <v>102</v>
      </c>
      <c r="G141" s="65"/>
      <c r="H141" s="73">
        <v>33048</v>
      </c>
      <c r="I141" s="81">
        <v>6600</v>
      </c>
      <c r="J141" s="65"/>
      <c r="K141" s="65" t="e">
        <f t="shared" si="41"/>
        <v>#DIV/0!</v>
      </c>
      <c r="L141" s="65">
        <f t="shared" si="42"/>
        <v>0</v>
      </c>
    </row>
    <row r="142" spans="2:12" x14ac:dyDescent="0.25">
      <c r="B142" s="10"/>
      <c r="C142" s="10"/>
      <c r="D142" s="7">
        <v>426</v>
      </c>
      <c r="E142" s="7"/>
      <c r="F142" s="58" t="s">
        <v>226</v>
      </c>
      <c r="G142" s="73">
        <f t="shared" si="46"/>
        <v>0</v>
      </c>
      <c r="H142" s="73">
        <f>SUM(H143)</f>
        <v>33048</v>
      </c>
      <c r="I142" s="73">
        <f t="shared" si="46"/>
        <v>1900</v>
      </c>
      <c r="J142" s="73">
        <f t="shared" si="46"/>
        <v>0</v>
      </c>
      <c r="K142" s="65" t="e">
        <f t="shared" ref="K142:K143" si="47">J142/G142*100</f>
        <v>#DIV/0!</v>
      </c>
      <c r="L142" s="65">
        <f t="shared" ref="L142:L143" si="48">J142/I142*100</f>
        <v>0</v>
      </c>
    </row>
    <row r="143" spans="2:12" x14ac:dyDescent="0.25">
      <c r="B143" s="10"/>
      <c r="C143" s="10"/>
      <c r="D143" s="7"/>
      <c r="E143" s="7">
        <v>4262</v>
      </c>
      <c r="F143" s="58" t="s">
        <v>223</v>
      </c>
      <c r="G143" s="65"/>
      <c r="H143" s="73">
        <v>33048</v>
      </c>
      <c r="I143" s="81">
        <v>1900</v>
      </c>
      <c r="J143" s="65"/>
      <c r="K143" s="65" t="e">
        <f t="shared" si="47"/>
        <v>#DIV/0!</v>
      </c>
      <c r="L143" s="65">
        <f t="shared" si="48"/>
        <v>0</v>
      </c>
    </row>
    <row r="144" spans="2:12" ht="36.75" customHeight="1" x14ac:dyDescent="0.25">
      <c r="B144" s="110" t="s">
        <v>7</v>
      </c>
      <c r="C144" s="111"/>
      <c r="D144" s="111"/>
      <c r="E144" s="111"/>
      <c r="F144" s="112"/>
      <c r="G144" s="33" t="s">
        <v>202</v>
      </c>
      <c r="H144" s="33" t="s">
        <v>60</v>
      </c>
      <c r="I144" s="33" t="s">
        <v>215</v>
      </c>
      <c r="J144" s="33" t="s">
        <v>219</v>
      </c>
      <c r="K144" s="33" t="s">
        <v>28</v>
      </c>
      <c r="L144" s="33" t="s">
        <v>58</v>
      </c>
    </row>
    <row r="145" spans="2:12" x14ac:dyDescent="0.25">
      <c r="B145" s="113">
        <v>1</v>
      </c>
      <c r="C145" s="114"/>
      <c r="D145" s="114"/>
      <c r="E145" s="114"/>
      <c r="F145" s="115"/>
      <c r="G145" s="35">
        <v>2</v>
      </c>
      <c r="H145" s="35">
        <v>3</v>
      </c>
      <c r="I145" s="35">
        <v>3</v>
      </c>
      <c r="J145" s="35">
        <v>4</v>
      </c>
      <c r="K145" s="35" t="s">
        <v>208</v>
      </c>
      <c r="L145" s="35" t="s">
        <v>209</v>
      </c>
    </row>
    <row r="146" spans="2:12" x14ac:dyDescent="0.25">
      <c r="B146" s="10"/>
      <c r="C146" s="10">
        <v>45</v>
      </c>
      <c r="D146" s="7"/>
      <c r="E146" s="7"/>
      <c r="F146" s="58" t="s">
        <v>165</v>
      </c>
      <c r="G146" s="73">
        <f t="shared" ref="G146" si="49">SUM(G147,G149)</f>
        <v>8312.35</v>
      </c>
      <c r="H146" s="73">
        <f t="shared" ref="H146:J146" si="50">SUM(H147,H149)</f>
        <v>12318</v>
      </c>
      <c r="I146" s="73">
        <f t="shared" si="50"/>
        <v>19415</v>
      </c>
      <c r="J146" s="73">
        <f t="shared" si="50"/>
        <v>22858.63</v>
      </c>
      <c r="K146" s="65">
        <f t="shared" si="41"/>
        <v>274.99599992781827</v>
      </c>
      <c r="L146" s="65">
        <f t="shared" si="42"/>
        <v>117.73695596188514</v>
      </c>
    </row>
    <row r="147" spans="2:12" x14ac:dyDescent="0.25">
      <c r="B147" s="10"/>
      <c r="C147" s="10"/>
      <c r="D147" s="7">
        <v>451</v>
      </c>
      <c r="E147" s="7"/>
      <c r="F147" s="58" t="s">
        <v>166</v>
      </c>
      <c r="G147" s="73">
        <f t="shared" ref="G147:J147" si="51">SUM(G148)</f>
        <v>7719.67</v>
      </c>
      <c r="H147" s="73">
        <f t="shared" si="51"/>
        <v>11945</v>
      </c>
      <c r="I147" s="73">
        <f t="shared" si="51"/>
        <v>19415</v>
      </c>
      <c r="J147" s="73">
        <f t="shared" si="51"/>
        <v>0</v>
      </c>
      <c r="K147" s="65">
        <f t="shared" si="41"/>
        <v>0</v>
      </c>
      <c r="L147" s="65">
        <f t="shared" si="42"/>
        <v>0</v>
      </c>
    </row>
    <row r="148" spans="2:12" x14ac:dyDescent="0.25">
      <c r="B148" s="10"/>
      <c r="C148" s="10"/>
      <c r="D148" s="7"/>
      <c r="E148" s="7">
        <v>4511</v>
      </c>
      <c r="F148" s="58" t="s">
        <v>166</v>
      </c>
      <c r="G148" s="65">
        <v>7719.67</v>
      </c>
      <c r="H148" s="73">
        <v>11945</v>
      </c>
      <c r="I148" s="81">
        <v>19415</v>
      </c>
      <c r="J148" s="65">
        <v>0</v>
      </c>
      <c r="K148" s="65">
        <f t="shared" si="41"/>
        <v>0</v>
      </c>
      <c r="L148" s="65">
        <f t="shared" si="42"/>
        <v>0</v>
      </c>
    </row>
    <row r="149" spans="2:12" x14ac:dyDescent="0.25">
      <c r="B149" s="10"/>
      <c r="C149" s="10"/>
      <c r="D149" s="7">
        <v>452</v>
      </c>
      <c r="E149" s="7"/>
      <c r="F149" s="58" t="s">
        <v>167</v>
      </c>
      <c r="G149" s="73">
        <f t="shared" ref="G149:J149" si="52">SUM(G150)</f>
        <v>592.67999999999995</v>
      </c>
      <c r="H149" s="73">
        <f t="shared" si="52"/>
        <v>373</v>
      </c>
      <c r="I149" s="73">
        <f t="shared" si="52"/>
        <v>0</v>
      </c>
      <c r="J149" s="73">
        <f t="shared" si="52"/>
        <v>22858.63</v>
      </c>
      <c r="K149" s="65">
        <f t="shared" si="41"/>
        <v>3856.8249308227037</v>
      </c>
      <c r="L149" s="65"/>
    </row>
    <row r="150" spans="2:12" x14ac:dyDescent="0.25">
      <c r="B150" s="10"/>
      <c r="C150" s="10"/>
      <c r="D150" s="7"/>
      <c r="E150" s="7">
        <v>4521</v>
      </c>
      <c r="F150" s="58" t="s">
        <v>167</v>
      </c>
      <c r="G150" s="65">
        <v>592.67999999999995</v>
      </c>
      <c r="H150" s="73">
        <v>373</v>
      </c>
      <c r="I150" s="81">
        <v>0</v>
      </c>
      <c r="J150" s="65">
        <v>22858.63</v>
      </c>
      <c r="K150" s="65">
        <f t="shared" si="41"/>
        <v>3856.8249308227037</v>
      </c>
      <c r="L150" s="65"/>
    </row>
    <row r="151" spans="2:12" x14ac:dyDescent="0.25">
      <c r="B151" s="10"/>
      <c r="C151" s="10"/>
      <c r="D151" s="7"/>
      <c r="E151" s="7"/>
      <c r="F151" s="7"/>
      <c r="G151" s="27"/>
      <c r="H151" s="4"/>
      <c r="I151" s="5"/>
      <c r="J151" s="27"/>
      <c r="K151" s="65"/>
      <c r="L151" s="27"/>
    </row>
    <row r="154" spans="2:12" ht="15" customHeight="1" x14ac:dyDescent="0.2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</row>
    <row r="155" spans="2:12" x14ac:dyDescent="0.2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</row>
    <row r="156" spans="2:12" ht="4.5" customHeight="1" x14ac:dyDescent="0.2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</sheetData>
  <mergeCells count="16">
    <mergeCell ref="B144:F144"/>
    <mergeCell ref="B145:F145"/>
    <mergeCell ref="B96:F96"/>
    <mergeCell ref="B97:F97"/>
    <mergeCell ref="B1:L1"/>
    <mergeCell ref="B2:L2"/>
    <mergeCell ref="B4:L4"/>
    <mergeCell ref="B6:L6"/>
    <mergeCell ref="B9:F9"/>
    <mergeCell ref="B8:F8"/>
    <mergeCell ref="B7:L7"/>
    <mergeCell ref="B5:L5"/>
    <mergeCell ref="B59:L59"/>
    <mergeCell ref="B3:L3"/>
    <mergeCell ref="B48:F48"/>
    <mergeCell ref="B49:F49"/>
  </mergeCells>
  <pageMargins left="0.70866141732283472" right="0.70866141732283472" top="0.35433070866141736" bottom="0.35433070866141736" header="0.31496062992125984" footer="0.31496062992125984"/>
  <pageSetup paperSize="9" scale="74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0"/>
  <sheetViews>
    <sheetView topLeftCell="A25" workbookViewId="0">
      <selection activeCell="E5" sqref="E5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5" t="s">
        <v>44</v>
      </c>
      <c r="C2" s="85"/>
      <c r="D2" s="85"/>
      <c r="E2" s="85"/>
      <c r="F2" s="85"/>
      <c r="G2" s="85"/>
      <c r="H2" s="85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33.75" customHeight="1" x14ac:dyDescent="0.25">
      <c r="B4" s="33" t="s">
        <v>7</v>
      </c>
      <c r="C4" s="33" t="s">
        <v>202</v>
      </c>
      <c r="D4" s="33" t="s">
        <v>60</v>
      </c>
      <c r="E4" s="33" t="s">
        <v>215</v>
      </c>
      <c r="F4" s="33" t="s">
        <v>219</v>
      </c>
      <c r="G4" s="33" t="s">
        <v>28</v>
      </c>
      <c r="H4" s="33" t="s">
        <v>58</v>
      </c>
    </row>
    <row r="5" spans="2:8" x14ac:dyDescent="0.25">
      <c r="B5" s="33">
        <v>1</v>
      </c>
      <c r="C5" s="35">
        <v>2</v>
      </c>
      <c r="D5" s="35">
        <v>3</v>
      </c>
      <c r="E5" s="35">
        <v>3</v>
      </c>
      <c r="F5" s="35">
        <v>4</v>
      </c>
      <c r="G5" s="35" t="s">
        <v>208</v>
      </c>
      <c r="H5" s="35" t="s">
        <v>209</v>
      </c>
    </row>
    <row r="6" spans="2:8" x14ac:dyDescent="0.25">
      <c r="B6" s="6" t="s">
        <v>54</v>
      </c>
      <c r="C6" s="77">
        <f>SUM(C7,C9,C11,C13,C17,C19)</f>
        <v>11292245.850000001</v>
      </c>
      <c r="D6" s="77">
        <f>SUM(D7,D9,D11,D13,D17,D19)</f>
        <v>11340284</v>
      </c>
      <c r="E6" s="77">
        <f>SUM(E7,E9,E11,E13,E17,E19)</f>
        <v>13022143</v>
      </c>
      <c r="F6" s="77">
        <f>SUM(F7,F9,F11,F13,F17,F19)</f>
        <v>12324401.869999999</v>
      </c>
      <c r="G6" s="65">
        <f>F6/C6*100</f>
        <v>109.1403962835258</v>
      </c>
      <c r="H6" s="65">
        <f>F6/E6*100</f>
        <v>94.641887053459627</v>
      </c>
    </row>
    <row r="7" spans="2:8" x14ac:dyDescent="0.25">
      <c r="B7" s="6" t="s">
        <v>18</v>
      </c>
      <c r="C7" s="73">
        <f t="shared" ref="C7:F7" si="0">SUM(C8)</f>
        <v>265446</v>
      </c>
      <c r="D7" s="73">
        <f t="shared" si="0"/>
        <v>265446</v>
      </c>
      <c r="E7" s="73">
        <f t="shared" si="0"/>
        <v>750000</v>
      </c>
      <c r="F7" s="73">
        <f t="shared" si="0"/>
        <v>750000</v>
      </c>
      <c r="G7" s="65">
        <f t="shared" ref="G7:G28" si="1">F7/C7*100</f>
        <v>282.54334214868561</v>
      </c>
      <c r="H7" s="65">
        <f t="shared" ref="H7:H28" si="2">F7/E7*100</f>
        <v>100</v>
      </c>
    </row>
    <row r="8" spans="2:8" x14ac:dyDescent="0.25">
      <c r="B8" s="18" t="s">
        <v>19</v>
      </c>
      <c r="C8" s="73">
        <v>265446</v>
      </c>
      <c r="D8" s="73">
        <v>265446</v>
      </c>
      <c r="E8" s="73">
        <v>750000</v>
      </c>
      <c r="F8" s="73">
        <v>750000</v>
      </c>
      <c r="G8" s="65">
        <f t="shared" si="1"/>
        <v>282.54334214868561</v>
      </c>
      <c r="H8" s="65">
        <f t="shared" si="2"/>
        <v>100</v>
      </c>
    </row>
    <row r="9" spans="2:8" x14ac:dyDescent="0.25">
      <c r="B9" s="6" t="s">
        <v>24</v>
      </c>
      <c r="C9" s="73">
        <f t="shared" ref="C9:F9" si="3">SUM(C10)</f>
        <v>6591944.5599999996</v>
      </c>
      <c r="D9" s="73">
        <f t="shared" si="3"/>
        <v>6376948</v>
      </c>
      <c r="E9" s="73">
        <f t="shared" si="3"/>
        <v>7359150</v>
      </c>
      <c r="F9" s="73">
        <f t="shared" si="3"/>
        <v>6874888.3099999996</v>
      </c>
      <c r="G9" s="65">
        <f t="shared" si="1"/>
        <v>104.29226531601776</v>
      </c>
      <c r="H9" s="65">
        <f t="shared" si="2"/>
        <v>93.419597507864353</v>
      </c>
    </row>
    <row r="10" spans="2:8" x14ac:dyDescent="0.25">
      <c r="B10" s="20" t="s">
        <v>25</v>
      </c>
      <c r="C10" s="73">
        <v>6591944.5599999996</v>
      </c>
      <c r="D10" s="73">
        <v>6376948</v>
      </c>
      <c r="E10" s="73">
        <v>7359150</v>
      </c>
      <c r="F10" s="73">
        <v>6874888.3099999996</v>
      </c>
      <c r="G10" s="65">
        <f t="shared" si="1"/>
        <v>104.29226531601776</v>
      </c>
      <c r="H10" s="65">
        <f t="shared" si="2"/>
        <v>93.419597507864353</v>
      </c>
    </row>
    <row r="11" spans="2:8" x14ac:dyDescent="0.25">
      <c r="B11" s="6" t="s">
        <v>168</v>
      </c>
      <c r="C11" s="73">
        <f t="shared" ref="C11:F11" si="4">SUM(C12)</f>
        <v>4157161.68</v>
      </c>
      <c r="D11" s="73">
        <f t="shared" si="4"/>
        <v>4258434</v>
      </c>
      <c r="E11" s="73">
        <f t="shared" si="4"/>
        <v>4312500</v>
      </c>
      <c r="F11" s="73">
        <f t="shared" si="4"/>
        <v>4213064.04</v>
      </c>
      <c r="G11" s="65">
        <f t="shared" si="1"/>
        <v>101.34472422058889</v>
      </c>
      <c r="H11" s="65">
        <f t="shared" si="2"/>
        <v>97.694238608695656</v>
      </c>
    </row>
    <row r="12" spans="2:8" x14ac:dyDescent="0.25">
      <c r="B12" s="20" t="s">
        <v>169</v>
      </c>
      <c r="C12" s="73">
        <v>4157161.68</v>
      </c>
      <c r="D12" s="73">
        <v>4258434</v>
      </c>
      <c r="E12" s="73">
        <v>4312500</v>
      </c>
      <c r="F12" s="73">
        <v>4213064.04</v>
      </c>
      <c r="G12" s="65">
        <f t="shared" si="1"/>
        <v>101.34472422058889</v>
      </c>
      <c r="H12" s="65">
        <f t="shared" si="2"/>
        <v>97.694238608695656</v>
      </c>
    </row>
    <row r="13" spans="2:8" x14ac:dyDescent="0.25">
      <c r="B13" s="6" t="s">
        <v>170</v>
      </c>
      <c r="C13" s="73">
        <f t="shared" ref="C13" si="5">SUM(C14:C16)</f>
        <v>259298.96999999997</v>
      </c>
      <c r="D13" s="73">
        <f t="shared" ref="D13:F13" si="6">SUM(D14:D16)</f>
        <v>343027</v>
      </c>
      <c r="E13" s="73">
        <f t="shared" si="6"/>
        <v>519798</v>
      </c>
      <c r="F13" s="73">
        <f t="shared" si="6"/>
        <v>468282.62</v>
      </c>
      <c r="G13" s="65">
        <f t="shared" si="1"/>
        <v>180.59563445238521</v>
      </c>
      <c r="H13" s="65">
        <f t="shared" si="2"/>
        <v>90.089346246041728</v>
      </c>
    </row>
    <row r="14" spans="2:8" x14ac:dyDescent="0.25">
      <c r="B14" s="20" t="s">
        <v>171</v>
      </c>
      <c r="C14" s="65">
        <v>92944.45</v>
      </c>
      <c r="D14" s="73"/>
      <c r="E14" s="81">
        <v>103480</v>
      </c>
      <c r="F14" s="65">
        <v>800</v>
      </c>
      <c r="G14" s="65">
        <f t="shared" si="1"/>
        <v>0.86072917748181843</v>
      </c>
      <c r="H14" s="65">
        <f t="shared" si="2"/>
        <v>0.7730962504831852</v>
      </c>
    </row>
    <row r="15" spans="2:8" x14ac:dyDescent="0.25">
      <c r="B15" s="20" t="s">
        <v>172</v>
      </c>
      <c r="C15" s="65">
        <v>166354.51999999999</v>
      </c>
      <c r="D15" s="73">
        <v>343027</v>
      </c>
      <c r="E15" s="81">
        <v>416318</v>
      </c>
      <c r="F15" s="65">
        <v>467482.62</v>
      </c>
      <c r="G15" s="65">
        <f t="shared" si="1"/>
        <v>281.01588102325087</v>
      </c>
      <c r="H15" s="65">
        <f t="shared" si="2"/>
        <v>112.28979289869763</v>
      </c>
    </row>
    <row r="16" spans="2:8" x14ac:dyDescent="0.25">
      <c r="B16" s="20" t="s">
        <v>173</v>
      </c>
      <c r="C16" s="65"/>
      <c r="D16" s="73"/>
      <c r="E16" s="81"/>
      <c r="F16" s="65"/>
      <c r="G16" s="65" t="e">
        <f t="shared" si="1"/>
        <v>#DIV/0!</v>
      </c>
      <c r="H16" s="65"/>
    </row>
    <row r="17" spans="2:8" x14ac:dyDescent="0.25">
      <c r="B17" s="6" t="s">
        <v>176</v>
      </c>
      <c r="C17" s="73">
        <f t="shared" ref="C17" si="7">SUM(C18)</f>
        <v>6574.58</v>
      </c>
      <c r="D17" s="73">
        <f t="shared" ref="D17" si="8">SUM(D18)</f>
        <v>3523</v>
      </c>
      <c r="E17" s="73">
        <f t="shared" ref="E17" si="9">SUM(E18)</f>
        <v>695</v>
      </c>
      <c r="F17" s="73">
        <f t="shared" ref="F17" si="10">SUM(F18)</f>
        <v>5494.9</v>
      </c>
      <c r="G17" s="65">
        <f t="shared" si="1"/>
        <v>83.577962394555996</v>
      </c>
      <c r="H17" s="65">
        <f t="shared" si="2"/>
        <v>790.63309352517979</v>
      </c>
    </row>
    <row r="18" spans="2:8" x14ac:dyDescent="0.25">
      <c r="B18" s="20" t="s">
        <v>177</v>
      </c>
      <c r="C18" s="73">
        <v>6574.58</v>
      </c>
      <c r="D18" s="73">
        <v>3523</v>
      </c>
      <c r="E18" s="73">
        <v>695</v>
      </c>
      <c r="F18" s="73">
        <v>5494.9</v>
      </c>
      <c r="G18" s="65">
        <f t="shared" si="1"/>
        <v>83.577962394555996</v>
      </c>
      <c r="H18" s="65">
        <f t="shared" si="2"/>
        <v>790.63309352517979</v>
      </c>
    </row>
    <row r="19" spans="2:8" ht="38.25" x14ac:dyDescent="0.25">
      <c r="B19" s="13" t="s">
        <v>174</v>
      </c>
      <c r="C19" s="73">
        <f t="shared" ref="C19:F19" si="11">SUM(C20)</f>
        <v>11820.06</v>
      </c>
      <c r="D19" s="73">
        <f t="shared" si="11"/>
        <v>92906</v>
      </c>
      <c r="E19" s="73">
        <f t="shared" si="11"/>
        <v>80000</v>
      </c>
      <c r="F19" s="73">
        <f t="shared" si="11"/>
        <v>12672</v>
      </c>
      <c r="G19" s="65">
        <f t="shared" si="1"/>
        <v>107.20757762650952</v>
      </c>
      <c r="H19" s="65">
        <f t="shared" si="2"/>
        <v>15.840000000000002</v>
      </c>
    </row>
    <row r="20" spans="2:8" ht="38.25" x14ac:dyDescent="0.25">
      <c r="B20" s="20" t="s">
        <v>175</v>
      </c>
      <c r="C20" s="65">
        <v>11820.06</v>
      </c>
      <c r="D20" s="73">
        <v>92906</v>
      </c>
      <c r="E20" s="81">
        <v>80000</v>
      </c>
      <c r="F20" s="65">
        <v>12672</v>
      </c>
      <c r="G20" s="65">
        <f t="shared" si="1"/>
        <v>107.20757762650952</v>
      </c>
      <c r="H20" s="65">
        <f t="shared" si="2"/>
        <v>15.840000000000002</v>
      </c>
    </row>
    <row r="21" spans="2:8" x14ac:dyDescent="0.25">
      <c r="B21" s="20"/>
      <c r="C21" s="65"/>
      <c r="D21" s="73"/>
      <c r="E21" s="81"/>
      <c r="F21" s="65"/>
      <c r="G21" s="65"/>
      <c r="H21" s="65"/>
    </row>
    <row r="22" spans="2:8" ht="15.75" customHeight="1" x14ac:dyDescent="0.25">
      <c r="B22" s="6" t="s">
        <v>55</v>
      </c>
      <c r="C22" s="76">
        <f t="shared" ref="C22" si="12">SUM(C23,C25,C27,C29,C33,C35)</f>
        <v>11326833.040000001</v>
      </c>
      <c r="D22" s="76">
        <f t="shared" ref="D22:F22" si="13">SUM(D23,D25,D27,D29,D33,D35)</f>
        <v>11331347</v>
      </c>
      <c r="E22" s="76">
        <f t="shared" si="13"/>
        <v>13021943</v>
      </c>
      <c r="F22" s="76">
        <f t="shared" si="13"/>
        <v>13739156.92</v>
      </c>
      <c r="G22" s="66">
        <f t="shared" si="1"/>
        <v>121.29742595729122</v>
      </c>
      <c r="H22" s="66">
        <f t="shared" si="2"/>
        <v>105.50773352333059</v>
      </c>
    </row>
    <row r="23" spans="2:8" ht="15.75" customHeight="1" x14ac:dyDescent="0.25">
      <c r="B23" s="6" t="s">
        <v>18</v>
      </c>
      <c r="C23" s="73">
        <f t="shared" ref="C23:F23" si="14">SUM(C24)</f>
        <v>265446</v>
      </c>
      <c r="D23" s="73">
        <f t="shared" si="14"/>
        <v>265446</v>
      </c>
      <c r="E23" s="73">
        <f t="shared" si="14"/>
        <v>750000</v>
      </c>
      <c r="F23" s="73">
        <f t="shared" si="14"/>
        <v>750000</v>
      </c>
      <c r="G23" s="65">
        <f t="shared" si="1"/>
        <v>282.54334214868561</v>
      </c>
      <c r="H23" s="65">
        <f t="shared" si="2"/>
        <v>100</v>
      </c>
    </row>
    <row r="24" spans="2:8" x14ac:dyDescent="0.25">
      <c r="B24" s="18" t="s">
        <v>19</v>
      </c>
      <c r="C24" s="73">
        <v>265446</v>
      </c>
      <c r="D24" s="73">
        <v>265446</v>
      </c>
      <c r="E24" s="73">
        <v>750000</v>
      </c>
      <c r="F24" s="73">
        <v>750000</v>
      </c>
      <c r="G24" s="65">
        <f t="shared" si="1"/>
        <v>282.54334214868561</v>
      </c>
      <c r="H24" s="65">
        <f t="shared" si="2"/>
        <v>100</v>
      </c>
    </row>
    <row r="25" spans="2:8" x14ac:dyDescent="0.25">
      <c r="B25" s="6" t="s">
        <v>24</v>
      </c>
      <c r="C25" s="73">
        <f t="shared" ref="C25:F25" si="15">SUM(C26)</f>
        <v>6394882.04</v>
      </c>
      <c r="D25" s="73">
        <f t="shared" si="15"/>
        <v>6376475</v>
      </c>
      <c r="E25" s="73">
        <f t="shared" si="15"/>
        <v>7358950</v>
      </c>
      <c r="F25" s="73">
        <f t="shared" si="15"/>
        <v>7457275.7699999996</v>
      </c>
      <c r="G25" s="65">
        <f t="shared" si="1"/>
        <v>116.61318728562505</v>
      </c>
      <c r="H25" s="65">
        <f t="shared" si="2"/>
        <v>101.3361385795528</v>
      </c>
    </row>
    <row r="26" spans="2:8" x14ac:dyDescent="0.25">
      <c r="B26" s="20" t="s">
        <v>25</v>
      </c>
      <c r="C26" s="73">
        <v>6394882.04</v>
      </c>
      <c r="D26" s="73">
        <f>5898847+477628</f>
        <v>6376475</v>
      </c>
      <c r="E26" s="73">
        <v>7358950</v>
      </c>
      <c r="F26" s="73">
        <v>7457275.7699999996</v>
      </c>
      <c r="G26" s="65">
        <f t="shared" si="1"/>
        <v>116.61318728562505</v>
      </c>
      <c r="H26" s="65">
        <f t="shared" si="2"/>
        <v>101.3361385795528</v>
      </c>
    </row>
    <row r="27" spans="2:8" x14ac:dyDescent="0.25">
      <c r="B27" s="6" t="s">
        <v>168</v>
      </c>
      <c r="C27" s="73">
        <f t="shared" ref="C27:F27" si="16">SUM(C28)</f>
        <v>4386573.21</v>
      </c>
      <c r="D27" s="73">
        <f t="shared" si="16"/>
        <v>4249970</v>
      </c>
      <c r="E27" s="73">
        <f t="shared" si="16"/>
        <v>4312500</v>
      </c>
      <c r="F27" s="73">
        <f t="shared" si="16"/>
        <v>5054165.7300000004</v>
      </c>
      <c r="G27" s="65">
        <f t="shared" si="1"/>
        <v>115.21899870445797</v>
      </c>
      <c r="H27" s="65">
        <f t="shared" si="2"/>
        <v>117.19804591304349</v>
      </c>
    </row>
    <row r="28" spans="2:8" x14ac:dyDescent="0.25">
      <c r="B28" s="20" t="s">
        <v>169</v>
      </c>
      <c r="C28" s="73">
        <v>4386573.21</v>
      </c>
      <c r="D28" s="73">
        <f>4028453+221517</f>
        <v>4249970</v>
      </c>
      <c r="E28" s="73">
        <v>4312500</v>
      </c>
      <c r="F28" s="73">
        <v>5054165.7300000004</v>
      </c>
      <c r="G28" s="65">
        <f t="shared" si="1"/>
        <v>115.21899870445797</v>
      </c>
      <c r="H28" s="65">
        <f t="shared" si="2"/>
        <v>117.19804591304349</v>
      </c>
    </row>
    <row r="29" spans="2:8" x14ac:dyDescent="0.25">
      <c r="B29" s="6" t="s">
        <v>170</v>
      </c>
      <c r="C29" s="73">
        <f t="shared" ref="C29" si="17">SUM(C30:C32)</f>
        <v>259483.57</v>
      </c>
      <c r="D29" s="73">
        <f t="shared" ref="D29:F29" si="18">SUM(D30:D32)</f>
        <v>343027</v>
      </c>
      <c r="E29" s="73">
        <f t="shared" si="18"/>
        <v>519798</v>
      </c>
      <c r="F29" s="73">
        <f t="shared" si="18"/>
        <v>458292.28</v>
      </c>
      <c r="G29" s="65">
        <f t="shared" ref="G29:G36" si="19">F29/C29*100</f>
        <v>176.61707059140585</v>
      </c>
      <c r="H29" s="65">
        <f t="shared" ref="H29:H36" si="20">F29/E29*100</f>
        <v>88.167380405465195</v>
      </c>
    </row>
    <row r="30" spans="2:8" x14ac:dyDescent="0.25">
      <c r="B30" s="20" t="s">
        <v>171</v>
      </c>
      <c r="C30" s="73">
        <v>92944.45</v>
      </c>
      <c r="D30" s="73"/>
      <c r="E30" s="73">
        <v>103480</v>
      </c>
      <c r="F30" s="73">
        <v>800</v>
      </c>
      <c r="G30" s="65">
        <f t="shared" ref="G30" si="21">F30/C30*100</f>
        <v>0.86072917748181843</v>
      </c>
      <c r="H30" s="65">
        <f t="shared" ref="H30" si="22">F30/E30*100</f>
        <v>0.7730962504831852</v>
      </c>
    </row>
    <row r="31" spans="2:8" x14ac:dyDescent="0.25">
      <c r="B31" s="20" t="s">
        <v>172</v>
      </c>
      <c r="C31" s="73">
        <v>166539.12</v>
      </c>
      <c r="D31" s="73">
        <f>301649+41378</f>
        <v>343027</v>
      </c>
      <c r="E31" s="73">
        <v>416318</v>
      </c>
      <c r="F31" s="73">
        <v>457492.28</v>
      </c>
      <c r="G31" s="65">
        <f t="shared" si="19"/>
        <v>274.70559469751015</v>
      </c>
      <c r="H31" s="65">
        <f t="shared" si="20"/>
        <v>109.8901032383899</v>
      </c>
    </row>
    <row r="32" spans="2:8" x14ac:dyDescent="0.25">
      <c r="B32" s="20" t="s">
        <v>173</v>
      </c>
      <c r="C32" s="73">
        <v>0</v>
      </c>
      <c r="D32" s="73"/>
      <c r="E32" s="73">
        <v>0</v>
      </c>
      <c r="F32" s="73">
        <v>0</v>
      </c>
      <c r="G32" s="65" t="e">
        <f t="shared" si="19"/>
        <v>#DIV/0!</v>
      </c>
      <c r="H32" s="65"/>
    </row>
    <row r="33" spans="2:11" x14ac:dyDescent="0.25">
      <c r="B33" s="6" t="s">
        <v>176</v>
      </c>
      <c r="C33" s="73">
        <f t="shared" ref="C33:F33" si="23">SUM(C34)</f>
        <v>8628.16</v>
      </c>
      <c r="D33" s="73">
        <f t="shared" si="23"/>
        <v>3523</v>
      </c>
      <c r="E33" s="73">
        <f t="shared" si="23"/>
        <v>695</v>
      </c>
      <c r="F33" s="73">
        <f t="shared" si="23"/>
        <v>6751.14</v>
      </c>
      <c r="G33" s="65">
        <f t="shared" si="19"/>
        <v>78.245419649148843</v>
      </c>
      <c r="H33" s="65">
        <f t="shared" si="20"/>
        <v>971.38705035971236</v>
      </c>
    </row>
    <row r="34" spans="2:11" x14ac:dyDescent="0.25">
      <c r="B34" s="20" t="s">
        <v>177</v>
      </c>
      <c r="C34" s="73">
        <v>8628.16</v>
      </c>
      <c r="D34" s="73">
        <v>3523</v>
      </c>
      <c r="E34" s="73">
        <v>695</v>
      </c>
      <c r="F34" s="73">
        <v>6751.14</v>
      </c>
      <c r="G34" s="65">
        <f t="shared" si="19"/>
        <v>78.245419649148843</v>
      </c>
      <c r="H34" s="65">
        <f t="shared" si="20"/>
        <v>971.38705035971236</v>
      </c>
    </row>
    <row r="35" spans="2:11" ht="38.25" x14ac:dyDescent="0.25">
      <c r="B35" s="13" t="s">
        <v>174</v>
      </c>
      <c r="C35" s="73">
        <f t="shared" ref="C35:F35" si="24">SUM(C36)</f>
        <v>11820.06</v>
      </c>
      <c r="D35" s="73">
        <f t="shared" si="24"/>
        <v>92906</v>
      </c>
      <c r="E35" s="73">
        <f t="shared" si="24"/>
        <v>80000</v>
      </c>
      <c r="F35" s="73">
        <f t="shared" si="24"/>
        <v>12672</v>
      </c>
      <c r="G35" s="65">
        <f t="shared" si="19"/>
        <v>107.20757762650952</v>
      </c>
      <c r="H35" s="65">
        <f t="shared" si="20"/>
        <v>15.840000000000002</v>
      </c>
    </row>
    <row r="36" spans="2:11" ht="38.25" x14ac:dyDescent="0.25">
      <c r="B36" s="20" t="s">
        <v>175</v>
      </c>
      <c r="C36" s="65">
        <v>11820.06</v>
      </c>
      <c r="D36" s="73">
        <v>92906</v>
      </c>
      <c r="E36" s="81">
        <v>80000</v>
      </c>
      <c r="F36" s="65">
        <v>12672</v>
      </c>
      <c r="G36" s="65">
        <f t="shared" si="19"/>
        <v>107.20757762650952</v>
      </c>
      <c r="H36" s="65">
        <f t="shared" si="20"/>
        <v>15.840000000000002</v>
      </c>
    </row>
    <row r="38" spans="2:11" ht="15" customHeight="1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 x14ac:dyDescent="0.25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</row>
  </sheetData>
  <mergeCells count="1">
    <mergeCell ref="B2:H2"/>
  </mergeCells>
  <phoneticPr fontId="21" type="noConversion"/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5" sqref="E5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5" t="s">
        <v>45</v>
      </c>
      <c r="C2" s="85"/>
      <c r="D2" s="85"/>
      <c r="E2" s="85"/>
      <c r="F2" s="85"/>
      <c r="G2" s="85"/>
      <c r="H2" s="85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3" t="s">
        <v>7</v>
      </c>
      <c r="C4" s="33" t="s">
        <v>205</v>
      </c>
      <c r="D4" s="33" t="s">
        <v>60</v>
      </c>
      <c r="E4" s="33" t="s">
        <v>215</v>
      </c>
      <c r="F4" s="33" t="s">
        <v>221</v>
      </c>
      <c r="G4" s="33" t="s">
        <v>28</v>
      </c>
      <c r="H4" s="33" t="s">
        <v>58</v>
      </c>
    </row>
    <row r="5" spans="2:8" x14ac:dyDescent="0.25">
      <c r="B5" s="35">
        <v>1</v>
      </c>
      <c r="C5" s="35">
        <v>2</v>
      </c>
      <c r="D5" s="35">
        <v>3</v>
      </c>
      <c r="E5" s="35">
        <v>3</v>
      </c>
      <c r="F5" s="35">
        <v>4</v>
      </c>
      <c r="G5" s="35" t="s">
        <v>206</v>
      </c>
      <c r="H5" s="35" t="s">
        <v>207</v>
      </c>
    </row>
    <row r="6" spans="2:8" ht="15.75" customHeight="1" x14ac:dyDescent="0.25">
      <c r="B6" s="6" t="s">
        <v>55</v>
      </c>
      <c r="C6" s="73">
        <f>SUM(C7)</f>
        <v>11326833.039999999</v>
      </c>
      <c r="D6" s="73">
        <f t="shared" ref="D6:F7" si="0">SUM(D7)</f>
        <v>11331347</v>
      </c>
      <c r="E6" s="73">
        <f t="shared" si="0"/>
        <v>13021943</v>
      </c>
      <c r="F6" s="73">
        <f t="shared" si="0"/>
        <v>13739156.92</v>
      </c>
      <c r="G6" s="65">
        <f>F6/C6*100</f>
        <v>121.29742595729125</v>
      </c>
      <c r="H6" s="65">
        <f>F6/E6*100</f>
        <v>105.50773352333059</v>
      </c>
    </row>
    <row r="7" spans="2:8" ht="15.75" customHeight="1" x14ac:dyDescent="0.25">
      <c r="B7" s="6" t="s">
        <v>178</v>
      </c>
      <c r="C7" s="73">
        <f>SUM(C8)</f>
        <v>11326833.039999999</v>
      </c>
      <c r="D7" s="73">
        <f t="shared" si="0"/>
        <v>11331347</v>
      </c>
      <c r="E7" s="73">
        <f t="shared" si="0"/>
        <v>13021943</v>
      </c>
      <c r="F7" s="73">
        <f t="shared" si="0"/>
        <v>13739156.92</v>
      </c>
      <c r="G7" s="65">
        <f>F7/C7*100</f>
        <v>121.29742595729125</v>
      </c>
      <c r="H7" s="65">
        <f t="shared" ref="H7:H8" si="1">F7/E7*100</f>
        <v>105.50773352333059</v>
      </c>
    </row>
    <row r="8" spans="2:8" x14ac:dyDescent="0.25">
      <c r="B8" s="12" t="s">
        <v>179</v>
      </c>
      <c r="C8" s="73">
        <v>11326833.039999999</v>
      </c>
      <c r="D8" s="73">
        <v>11331347</v>
      </c>
      <c r="E8" s="73">
        <v>13021943</v>
      </c>
      <c r="F8" s="65">
        <v>13739156.92</v>
      </c>
      <c r="G8" s="65">
        <f>F8/C8*100</f>
        <v>121.29742595729125</v>
      </c>
      <c r="H8" s="65">
        <f t="shared" si="1"/>
        <v>105.50773352333059</v>
      </c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A16" workbookViewId="0">
      <selection activeCell="J8" sqref="J8"/>
    </sheetView>
  </sheetViews>
  <sheetFormatPr defaultRowHeight="15" x14ac:dyDescent="0.25"/>
  <cols>
    <col min="1" max="1" width="3.8554687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8" width="25.28515625" customWidth="1"/>
    <col min="9" max="9" width="25.28515625" hidden="1" customWidth="1"/>
    <col min="10" max="10" width="25.28515625" customWidth="1"/>
    <col min="11" max="11" width="15.7109375" customWidth="1"/>
    <col min="12" max="12" width="14.2851562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85" t="s">
        <v>11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ht="18" x14ac:dyDescent="0.25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25">
      <c r="B4" s="85" t="s">
        <v>62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12" ht="15.75" customHeight="1" x14ac:dyDescent="0.25">
      <c r="B5" s="85" t="s">
        <v>46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2:12" ht="18" x14ac:dyDescent="0.25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25">
      <c r="B7" s="110" t="s">
        <v>7</v>
      </c>
      <c r="C7" s="111"/>
      <c r="D7" s="111"/>
      <c r="E7" s="111"/>
      <c r="F7" s="112"/>
      <c r="G7" s="36" t="s">
        <v>202</v>
      </c>
      <c r="H7" s="36" t="s">
        <v>215</v>
      </c>
      <c r="I7" s="36" t="s">
        <v>57</v>
      </c>
      <c r="J7" s="36" t="s">
        <v>219</v>
      </c>
      <c r="K7" s="36" t="s">
        <v>28</v>
      </c>
      <c r="L7" s="36" t="s">
        <v>58</v>
      </c>
    </row>
    <row r="8" spans="2:12" x14ac:dyDescent="0.25">
      <c r="B8" s="110">
        <v>1</v>
      </c>
      <c r="C8" s="111"/>
      <c r="D8" s="111"/>
      <c r="E8" s="111"/>
      <c r="F8" s="112"/>
      <c r="G8" s="37">
        <v>2</v>
      </c>
      <c r="H8" s="37">
        <v>3</v>
      </c>
      <c r="I8" s="37">
        <v>4</v>
      </c>
      <c r="J8" s="37">
        <v>5</v>
      </c>
      <c r="K8" s="37" t="s">
        <v>41</v>
      </c>
      <c r="L8" s="37" t="s">
        <v>42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>
        <v>0</v>
      </c>
      <c r="H9" s="4">
        <v>0</v>
      </c>
      <c r="I9" s="4">
        <v>0</v>
      </c>
      <c r="J9" s="27">
        <v>0</v>
      </c>
      <c r="K9" s="27"/>
      <c r="L9" s="27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7"/>
      <c r="K10" s="27"/>
      <c r="L10" s="27"/>
    </row>
    <row r="11" spans="2:12" ht="51" x14ac:dyDescent="0.25">
      <c r="B11" s="7"/>
      <c r="C11" s="7"/>
      <c r="D11" s="7">
        <v>841</v>
      </c>
      <c r="E11" s="7"/>
      <c r="F11" s="21" t="s">
        <v>47</v>
      </c>
      <c r="G11" s="4"/>
      <c r="H11" s="4"/>
      <c r="I11" s="4"/>
      <c r="J11" s="27"/>
      <c r="K11" s="27"/>
      <c r="L11" s="27"/>
    </row>
    <row r="12" spans="2:12" ht="25.5" x14ac:dyDescent="0.25">
      <c r="B12" s="7"/>
      <c r="C12" s="7"/>
      <c r="D12" s="7"/>
      <c r="E12" s="7">
        <v>8413</v>
      </c>
      <c r="F12" s="21" t="s">
        <v>48</v>
      </c>
      <c r="G12" s="4"/>
      <c r="H12" s="4"/>
      <c r="I12" s="4"/>
      <c r="J12" s="27"/>
      <c r="K12" s="27"/>
      <c r="L12" s="27"/>
    </row>
    <row r="13" spans="2:12" x14ac:dyDescent="0.25">
      <c r="B13" s="7"/>
      <c r="C13" s="7"/>
      <c r="D13" s="7"/>
      <c r="E13" s="8" t="s">
        <v>21</v>
      </c>
      <c r="F13" s="12"/>
      <c r="G13" s="4"/>
      <c r="H13" s="4"/>
      <c r="I13" s="4"/>
      <c r="J13" s="27"/>
      <c r="K13" s="27"/>
      <c r="L13" s="27"/>
    </row>
    <row r="14" spans="2:12" ht="25.5" x14ac:dyDescent="0.25">
      <c r="B14" s="9">
        <v>5</v>
      </c>
      <c r="C14" s="9"/>
      <c r="D14" s="9"/>
      <c r="E14" s="9"/>
      <c r="F14" s="13" t="s">
        <v>9</v>
      </c>
      <c r="G14" s="4">
        <v>0</v>
      </c>
      <c r="H14" s="4">
        <v>0</v>
      </c>
      <c r="I14" s="4">
        <v>0</v>
      </c>
      <c r="J14" s="27">
        <v>0</v>
      </c>
      <c r="K14" s="27">
        <v>0</v>
      </c>
      <c r="L14" s="27">
        <v>0</v>
      </c>
    </row>
    <row r="15" spans="2:12" ht="25.5" x14ac:dyDescent="0.25">
      <c r="B15" s="10"/>
      <c r="C15" s="10">
        <v>54</v>
      </c>
      <c r="D15" s="10"/>
      <c r="E15" s="10"/>
      <c r="F15" s="14" t="s">
        <v>14</v>
      </c>
      <c r="G15" s="4"/>
      <c r="H15" s="4"/>
      <c r="I15" s="5"/>
      <c r="J15" s="27"/>
      <c r="K15" s="27"/>
      <c r="L15" s="27"/>
    </row>
    <row r="16" spans="2:12" ht="63.75" x14ac:dyDescent="0.25">
      <c r="B16" s="10"/>
      <c r="C16" s="10"/>
      <c r="D16" s="10">
        <v>541</v>
      </c>
      <c r="E16" s="21"/>
      <c r="F16" s="21" t="s">
        <v>49</v>
      </c>
      <c r="G16" s="4"/>
      <c r="H16" s="4"/>
      <c r="I16" s="5"/>
      <c r="J16" s="27"/>
      <c r="K16" s="27"/>
      <c r="L16" s="27"/>
    </row>
    <row r="17" spans="2:12" ht="38.25" x14ac:dyDescent="0.25">
      <c r="B17" s="10"/>
      <c r="C17" s="10"/>
      <c r="D17" s="10"/>
      <c r="E17" s="21">
        <v>5413</v>
      </c>
      <c r="F17" s="21" t="s">
        <v>50</v>
      </c>
      <c r="G17" s="4"/>
      <c r="H17" s="4"/>
      <c r="I17" s="5"/>
      <c r="J17" s="27"/>
      <c r="K17" s="27"/>
      <c r="L17" s="27"/>
    </row>
    <row r="18" spans="2:12" x14ac:dyDescent="0.25">
      <c r="B18" s="11"/>
      <c r="C18" s="9"/>
      <c r="D18" s="9"/>
      <c r="E18" s="9"/>
      <c r="F18" s="13" t="s">
        <v>21</v>
      </c>
      <c r="G18" s="4"/>
      <c r="H18" s="4"/>
      <c r="I18" s="4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F5" sqref="F5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5" t="s">
        <v>51</v>
      </c>
      <c r="C2" s="85"/>
      <c r="D2" s="85"/>
      <c r="E2" s="85"/>
      <c r="F2" s="85"/>
      <c r="G2" s="85"/>
      <c r="H2" s="85"/>
    </row>
    <row r="3" spans="2:8" ht="18" x14ac:dyDescent="0.25">
      <c r="B3" s="48"/>
      <c r="C3" s="48"/>
      <c r="D3" s="48"/>
      <c r="E3" s="48"/>
      <c r="F3" s="49"/>
      <c r="G3" s="49"/>
      <c r="H3" s="49"/>
    </row>
    <row r="4" spans="2:8" ht="25.5" x14ac:dyDescent="0.25">
      <c r="B4" s="33" t="s">
        <v>7</v>
      </c>
      <c r="C4" s="33" t="s">
        <v>213</v>
      </c>
      <c r="D4" s="33" t="s">
        <v>215</v>
      </c>
      <c r="E4" s="33" t="s">
        <v>57</v>
      </c>
      <c r="F4" s="33" t="s">
        <v>217</v>
      </c>
      <c r="G4" s="33" t="s">
        <v>28</v>
      </c>
      <c r="H4" s="33" t="s">
        <v>58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41</v>
      </c>
      <c r="H5" s="33" t="s">
        <v>42</v>
      </c>
    </row>
    <row r="6" spans="2:8" x14ac:dyDescent="0.25">
      <c r="B6" s="6" t="s">
        <v>52</v>
      </c>
      <c r="C6" s="4">
        <v>0</v>
      </c>
      <c r="D6" s="4">
        <v>0</v>
      </c>
      <c r="E6" s="5">
        <v>0</v>
      </c>
      <c r="F6" s="27">
        <v>0</v>
      </c>
      <c r="G6" s="27">
        <v>0</v>
      </c>
      <c r="H6" s="27">
        <v>0</v>
      </c>
    </row>
    <row r="7" spans="2:8" x14ac:dyDescent="0.25">
      <c r="B7" s="6" t="s">
        <v>18</v>
      </c>
      <c r="C7" s="4"/>
      <c r="D7" s="4"/>
      <c r="E7" s="4"/>
      <c r="F7" s="27"/>
      <c r="G7" s="27"/>
      <c r="H7" s="27"/>
    </row>
    <row r="8" spans="2:8" x14ac:dyDescent="0.25">
      <c r="B8" s="18" t="s">
        <v>19</v>
      </c>
      <c r="C8" s="4"/>
      <c r="D8" s="4"/>
      <c r="E8" s="4"/>
      <c r="F8" s="27"/>
      <c r="G8" s="27"/>
      <c r="H8" s="27"/>
    </row>
    <row r="9" spans="2:8" x14ac:dyDescent="0.25">
      <c r="B9" s="19" t="s">
        <v>20</v>
      </c>
      <c r="C9" s="4"/>
      <c r="D9" s="4"/>
      <c r="E9" s="4"/>
      <c r="F9" s="27"/>
      <c r="G9" s="27"/>
      <c r="H9" s="27"/>
    </row>
    <row r="10" spans="2:8" x14ac:dyDescent="0.25">
      <c r="B10" s="19" t="s">
        <v>21</v>
      </c>
      <c r="C10" s="4"/>
      <c r="D10" s="4"/>
      <c r="E10" s="4"/>
      <c r="F10" s="27"/>
      <c r="G10" s="27"/>
      <c r="H10" s="27"/>
    </row>
    <row r="11" spans="2:8" x14ac:dyDescent="0.25">
      <c r="B11" s="6" t="s">
        <v>22</v>
      </c>
      <c r="C11" s="4"/>
      <c r="D11" s="4"/>
      <c r="E11" s="5"/>
      <c r="F11" s="27"/>
      <c r="G11" s="27"/>
      <c r="H11" s="27"/>
    </row>
    <row r="12" spans="2:8" x14ac:dyDescent="0.25">
      <c r="B12" s="20" t="s">
        <v>23</v>
      </c>
      <c r="C12" s="4"/>
      <c r="D12" s="4"/>
      <c r="E12" s="5"/>
      <c r="F12" s="27"/>
      <c r="G12" s="27"/>
      <c r="H12" s="27"/>
    </row>
    <row r="13" spans="2:8" x14ac:dyDescent="0.25">
      <c r="B13" s="6" t="s">
        <v>24</v>
      </c>
      <c r="C13" s="4"/>
      <c r="D13" s="4"/>
      <c r="E13" s="5"/>
      <c r="F13" s="27"/>
      <c r="G13" s="27"/>
      <c r="H13" s="27"/>
    </row>
    <row r="14" spans="2:8" x14ac:dyDescent="0.25">
      <c r="B14" s="20" t="s">
        <v>25</v>
      </c>
      <c r="C14" s="4"/>
      <c r="D14" s="4"/>
      <c r="E14" s="5"/>
      <c r="F14" s="27"/>
      <c r="G14" s="27"/>
      <c r="H14" s="27"/>
    </row>
    <row r="15" spans="2:8" x14ac:dyDescent="0.25">
      <c r="B15" s="10" t="s">
        <v>16</v>
      </c>
      <c r="C15" s="4"/>
      <c r="D15" s="4"/>
      <c r="E15" s="5"/>
      <c r="F15" s="27"/>
      <c r="G15" s="27"/>
      <c r="H15" s="27"/>
    </row>
    <row r="16" spans="2:8" x14ac:dyDescent="0.25">
      <c r="B16" s="20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53</v>
      </c>
      <c r="C17" s="4">
        <v>0</v>
      </c>
      <c r="D17" s="4">
        <v>0</v>
      </c>
      <c r="E17" s="5">
        <v>0</v>
      </c>
      <c r="F17" s="27">
        <v>0</v>
      </c>
      <c r="G17" s="27">
        <v>0</v>
      </c>
      <c r="H17" s="27">
        <v>0</v>
      </c>
    </row>
    <row r="18" spans="2:8" ht="15.75" customHeight="1" x14ac:dyDescent="0.25">
      <c r="B18" s="6" t="s">
        <v>18</v>
      </c>
      <c r="C18" s="4"/>
      <c r="D18" s="4"/>
      <c r="E18" s="4"/>
      <c r="F18" s="27"/>
      <c r="G18" s="27"/>
      <c r="H18" s="27"/>
    </row>
    <row r="19" spans="2:8" x14ac:dyDescent="0.25">
      <c r="B19" s="18" t="s">
        <v>19</v>
      </c>
      <c r="C19" s="4"/>
      <c r="D19" s="4"/>
      <c r="E19" s="4"/>
      <c r="F19" s="27"/>
      <c r="G19" s="27"/>
      <c r="H19" s="27"/>
    </row>
    <row r="20" spans="2:8" x14ac:dyDescent="0.25">
      <c r="B20" s="19" t="s">
        <v>20</v>
      </c>
      <c r="C20" s="4"/>
      <c r="D20" s="4"/>
      <c r="E20" s="4"/>
      <c r="F20" s="27"/>
      <c r="G20" s="27"/>
      <c r="H20" s="27"/>
    </row>
    <row r="21" spans="2:8" x14ac:dyDescent="0.25">
      <c r="B21" s="19" t="s">
        <v>21</v>
      </c>
      <c r="C21" s="4"/>
      <c r="D21" s="4"/>
      <c r="E21" s="4"/>
      <c r="F21" s="27"/>
      <c r="G21" s="27"/>
      <c r="H21" s="27"/>
    </row>
    <row r="22" spans="2:8" x14ac:dyDescent="0.25">
      <c r="B22" s="6" t="s">
        <v>22</v>
      </c>
      <c r="C22" s="4"/>
      <c r="D22" s="4"/>
      <c r="E22" s="5"/>
      <c r="F22" s="27"/>
      <c r="G22" s="27"/>
      <c r="H22" s="27"/>
    </row>
    <row r="23" spans="2:8" x14ac:dyDescent="0.25">
      <c r="B23" s="20" t="s">
        <v>23</v>
      </c>
      <c r="C23" s="4"/>
      <c r="D23" s="4"/>
      <c r="E23" s="5"/>
      <c r="F23" s="27"/>
      <c r="G23" s="27"/>
      <c r="H23" s="27"/>
    </row>
    <row r="24" spans="2:8" x14ac:dyDescent="0.25">
      <c r="B24" s="6" t="s">
        <v>24</v>
      </c>
      <c r="C24" s="4"/>
      <c r="D24" s="4"/>
      <c r="E24" s="5"/>
      <c r="F24" s="27"/>
      <c r="G24" s="27"/>
      <c r="H24" s="27"/>
    </row>
    <row r="25" spans="2:8" x14ac:dyDescent="0.25">
      <c r="B25" s="20" t="s">
        <v>25</v>
      </c>
      <c r="C25" s="4"/>
      <c r="D25" s="4"/>
      <c r="E25" s="5"/>
      <c r="F25" s="27"/>
      <c r="G25" s="27"/>
      <c r="H25" s="27"/>
    </row>
    <row r="26" spans="2:8" x14ac:dyDescent="0.25">
      <c r="B26" s="10" t="s">
        <v>16</v>
      </c>
      <c r="C26" s="4"/>
      <c r="D26" s="4"/>
      <c r="E26" s="5"/>
      <c r="F26" s="27"/>
      <c r="G26" s="27"/>
      <c r="H26" s="27"/>
    </row>
    <row r="28" spans="2:8" x14ac:dyDescent="0.25">
      <c r="B28" s="40"/>
      <c r="C28" s="40"/>
      <c r="D28" s="40"/>
      <c r="E28" s="40"/>
      <c r="F28" s="40"/>
      <c r="G28" s="40"/>
      <c r="H28" s="40"/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211"/>
  <sheetViews>
    <sheetView topLeftCell="A193" zoomScaleNormal="100" workbookViewId="0">
      <selection activeCell="H15" sqref="H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" customWidth="1"/>
    <col min="5" max="5" width="43.140625" style="59" customWidth="1"/>
    <col min="6" max="6" width="24.28515625" hidden="1" customWidth="1"/>
    <col min="7" max="8" width="24.28515625" customWidth="1"/>
    <col min="9" max="9" width="15.7109375" customWidth="1"/>
    <col min="10" max="10" width="24.28515625" customWidth="1"/>
  </cols>
  <sheetData>
    <row r="1" spans="2:10" ht="9.75" customHeight="1" x14ac:dyDescent="0.25">
      <c r="B1" s="2"/>
      <c r="C1" s="2"/>
      <c r="D1" s="2"/>
      <c r="E1" s="68"/>
      <c r="F1" s="2"/>
      <c r="G1" s="2"/>
      <c r="H1" s="2"/>
      <c r="I1" s="3"/>
      <c r="J1" s="3"/>
    </row>
    <row r="2" spans="2:10" ht="18" customHeight="1" x14ac:dyDescent="0.25">
      <c r="B2" s="85" t="s">
        <v>10</v>
      </c>
      <c r="C2" s="85"/>
      <c r="D2" s="85"/>
      <c r="E2" s="85"/>
      <c r="F2" s="85"/>
      <c r="G2" s="85"/>
      <c r="H2" s="85"/>
      <c r="I2" s="85"/>
      <c r="J2" s="22"/>
    </row>
    <row r="3" spans="2:10" ht="5.25" customHeight="1" x14ac:dyDescent="0.25">
      <c r="B3" s="48"/>
      <c r="C3" s="48"/>
      <c r="D3" s="48"/>
      <c r="E3" s="69"/>
      <c r="F3" s="48"/>
      <c r="G3" s="48"/>
      <c r="H3" s="48"/>
      <c r="I3" s="49"/>
      <c r="J3" s="3"/>
    </row>
    <row r="4" spans="2:10" ht="15.75" x14ac:dyDescent="0.25">
      <c r="B4" s="119" t="s">
        <v>65</v>
      </c>
      <c r="C4" s="119"/>
      <c r="D4" s="119"/>
      <c r="E4" s="119"/>
      <c r="F4" s="119"/>
      <c r="G4" s="119"/>
      <c r="H4" s="119"/>
      <c r="I4" s="119"/>
    </row>
    <row r="5" spans="2:10" ht="18" x14ac:dyDescent="0.25">
      <c r="B5" s="48"/>
      <c r="C5" s="48"/>
      <c r="D5" s="48"/>
      <c r="E5" s="69"/>
      <c r="F5" s="48"/>
      <c r="G5" s="48"/>
      <c r="H5" s="48"/>
      <c r="I5" s="49"/>
    </row>
    <row r="6" spans="2:10" ht="25.5" x14ac:dyDescent="0.25">
      <c r="B6" s="110" t="s">
        <v>7</v>
      </c>
      <c r="C6" s="111"/>
      <c r="D6" s="111"/>
      <c r="E6" s="112"/>
      <c r="F6" s="33" t="s">
        <v>60</v>
      </c>
      <c r="G6" s="33" t="s">
        <v>215</v>
      </c>
      <c r="H6" s="33" t="s">
        <v>221</v>
      </c>
      <c r="I6" s="33" t="s">
        <v>58</v>
      </c>
    </row>
    <row r="7" spans="2:10" s="38" customFormat="1" ht="11.25" x14ac:dyDescent="0.2">
      <c r="B7" s="113">
        <v>1</v>
      </c>
      <c r="C7" s="114"/>
      <c r="D7" s="114"/>
      <c r="E7" s="115"/>
      <c r="F7" s="35">
        <v>2</v>
      </c>
      <c r="G7" s="35">
        <v>2</v>
      </c>
      <c r="H7" s="35">
        <v>3</v>
      </c>
      <c r="I7" s="35" t="s">
        <v>211</v>
      </c>
    </row>
    <row r="8" spans="2:10" ht="30" customHeight="1" x14ac:dyDescent="0.25">
      <c r="B8" s="117">
        <v>7715</v>
      </c>
      <c r="C8" s="118"/>
      <c r="D8" s="123"/>
      <c r="E8" s="71" t="s">
        <v>180</v>
      </c>
      <c r="F8" s="76">
        <f t="shared" ref="F8:G8" si="0">SUM(F9:F15)</f>
        <v>11331353</v>
      </c>
      <c r="G8" s="76">
        <f t="shared" si="0"/>
        <v>13021943</v>
      </c>
      <c r="H8" s="76">
        <f>SUM(H9:H15)</f>
        <v>13739156.92</v>
      </c>
      <c r="I8" s="76">
        <f>H8/G8*100</f>
        <v>105.50773352333059</v>
      </c>
    </row>
    <row r="9" spans="2:10" ht="30" customHeight="1" x14ac:dyDescent="0.25">
      <c r="B9" s="120">
        <v>11</v>
      </c>
      <c r="C9" s="121"/>
      <c r="D9" s="122"/>
      <c r="E9" s="41" t="s">
        <v>181</v>
      </c>
      <c r="F9" s="74">
        <f>SUM(F18)</f>
        <v>265446</v>
      </c>
      <c r="G9" s="74">
        <v>750000</v>
      </c>
      <c r="H9" s="73">
        <v>750000</v>
      </c>
      <c r="I9" s="73">
        <f t="shared" ref="I9:I76" si="1">H9/G9*100</f>
        <v>100</v>
      </c>
    </row>
    <row r="10" spans="2:10" ht="30" customHeight="1" x14ac:dyDescent="0.25">
      <c r="B10" s="124">
        <v>31</v>
      </c>
      <c r="C10" s="124"/>
      <c r="D10" s="124"/>
      <c r="E10" s="41" t="s">
        <v>182</v>
      </c>
      <c r="F10" s="74">
        <f>SUM(F22)</f>
        <v>6376477</v>
      </c>
      <c r="G10" s="74">
        <v>7358950</v>
      </c>
      <c r="H10" s="73">
        <v>7457275.7699999996</v>
      </c>
      <c r="I10" s="73">
        <f t="shared" si="1"/>
        <v>101.3361385795528</v>
      </c>
    </row>
    <row r="11" spans="2:10" ht="30" customHeight="1" x14ac:dyDescent="0.25">
      <c r="B11" s="124">
        <v>43</v>
      </c>
      <c r="C11" s="124"/>
      <c r="D11" s="124"/>
      <c r="E11" s="67" t="s">
        <v>183</v>
      </c>
      <c r="F11" s="74">
        <f>SUM(F78)</f>
        <v>4249974</v>
      </c>
      <c r="G11" s="74">
        <v>4312500</v>
      </c>
      <c r="H11" s="73">
        <v>5054165.7300000004</v>
      </c>
      <c r="I11" s="73">
        <f t="shared" si="1"/>
        <v>117.19804591304349</v>
      </c>
    </row>
    <row r="12" spans="2:10" ht="30" customHeight="1" x14ac:dyDescent="0.25">
      <c r="B12" s="50">
        <v>51</v>
      </c>
      <c r="C12" s="51"/>
      <c r="D12" s="39"/>
      <c r="E12" s="67" t="s">
        <v>210</v>
      </c>
      <c r="F12" s="74"/>
      <c r="G12" s="74">
        <v>103480</v>
      </c>
      <c r="H12" s="73">
        <v>800</v>
      </c>
      <c r="I12" s="73">
        <f t="shared" si="1"/>
        <v>0.7730962504831852</v>
      </c>
    </row>
    <row r="13" spans="2:10" ht="30" customHeight="1" x14ac:dyDescent="0.25">
      <c r="B13" s="124">
        <v>52</v>
      </c>
      <c r="C13" s="124"/>
      <c r="D13" s="124"/>
      <c r="E13" s="67" t="s">
        <v>184</v>
      </c>
      <c r="F13" s="74">
        <f>SUM(F150)</f>
        <v>343027</v>
      </c>
      <c r="G13" s="74">
        <v>416318</v>
      </c>
      <c r="H13" s="73">
        <v>457492.28</v>
      </c>
      <c r="I13" s="73">
        <f t="shared" si="1"/>
        <v>109.8901032383899</v>
      </c>
    </row>
    <row r="14" spans="2:10" ht="30" customHeight="1" x14ac:dyDescent="0.25">
      <c r="B14" s="124">
        <v>61</v>
      </c>
      <c r="C14" s="124"/>
      <c r="D14" s="124"/>
      <c r="E14" s="67" t="s">
        <v>185</v>
      </c>
      <c r="F14" s="74">
        <f>SUM(F181)</f>
        <v>3523</v>
      </c>
      <c r="G14" s="74">
        <v>695</v>
      </c>
      <c r="H14" s="73">
        <v>6751.14</v>
      </c>
      <c r="I14" s="73">
        <f t="shared" si="1"/>
        <v>971.38705035971236</v>
      </c>
    </row>
    <row r="15" spans="2:10" ht="30" customHeight="1" x14ac:dyDescent="0.25">
      <c r="B15" s="124">
        <v>71</v>
      </c>
      <c r="C15" s="124"/>
      <c r="D15" s="124"/>
      <c r="E15" s="67" t="s">
        <v>186</v>
      </c>
      <c r="F15" s="74">
        <f>SUM(F192)</f>
        <v>92906</v>
      </c>
      <c r="G15" s="74">
        <v>80000</v>
      </c>
      <c r="H15" s="73">
        <v>12672</v>
      </c>
      <c r="I15" s="73">
        <f t="shared" si="1"/>
        <v>15.840000000000002</v>
      </c>
    </row>
    <row r="16" spans="2:10" ht="30" customHeight="1" x14ac:dyDescent="0.25">
      <c r="B16" s="117">
        <v>3401</v>
      </c>
      <c r="C16" s="118"/>
      <c r="D16" s="123"/>
      <c r="E16" s="71" t="s">
        <v>187</v>
      </c>
      <c r="F16" s="78">
        <f>SUM(F17,F21)</f>
        <v>11331353</v>
      </c>
      <c r="G16" s="78">
        <f t="shared" ref="G16:H16" si="2">SUM(G17,G21)</f>
        <v>13021943</v>
      </c>
      <c r="H16" s="78">
        <f t="shared" si="2"/>
        <v>13739156.92</v>
      </c>
      <c r="I16" s="73">
        <f t="shared" si="1"/>
        <v>105.50773352333059</v>
      </c>
    </row>
    <row r="17" spans="2:9" ht="30" customHeight="1" x14ac:dyDescent="0.25">
      <c r="B17" s="117" t="s">
        <v>188</v>
      </c>
      <c r="C17" s="118"/>
      <c r="D17" s="123"/>
      <c r="E17" s="71" t="s">
        <v>189</v>
      </c>
      <c r="F17" s="74">
        <f>SUM(F18)</f>
        <v>265446</v>
      </c>
      <c r="G17" s="74">
        <f t="shared" ref="G17:H17" si="3">SUM(G18)</f>
        <v>750000</v>
      </c>
      <c r="H17" s="74">
        <f t="shared" si="3"/>
        <v>750000</v>
      </c>
      <c r="I17" s="73">
        <f t="shared" si="1"/>
        <v>100</v>
      </c>
    </row>
    <row r="18" spans="2:9" ht="30" customHeight="1" x14ac:dyDescent="0.25">
      <c r="B18" s="120" t="s">
        <v>190</v>
      </c>
      <c r="C18" s="121"/>
      <c r="D18" s="122"/>
      <c r="E18" s="41" t="s">
        <v>181</v>
      </c>
      <c r="F18" s="74">
        <v>265446</v>
      </c>
      <c r="G18" s="73">
        <v>750000</v>
      </c>
      <c r="H18" s="73">
        <v>750000</v>
      </c>
      <c r="I18" s="73">
        <f t="shared" si="1"/>
        <v>100</v>
      </c>
    </row>
    <row r="19" spans="2:9" ht="30" customHeight="1" x14ac:dyDescent="0.25">
      <c r="B19" s="124">
        <v>31</v>
      </c>
      <c r="C19" s="124"/>
      <c r="D19" s="124"/>
      <c r="E19" s="58" t="s">
        <v>5</v>
      </c>
      <c r="F19" s="74">
        <v>265446</v>
      </c>
      <c r="G19" s="73">
        <v>750000</v>
      </c>
      <c r="H19" s="73">
        <v>750000</v>
      </c>
      <c r="I19" s="73">
        <f t="shared" si="1"/>
        <v>100</v>
      </c>
    </row>
    <row r="20" spans="2:9" ht="30" customHeight="1" x14ac:dyDescent="0.25">
      <c r="B20" s="120">
        <v>3111</v>
      </c>
      <c r="C20" s="121"/>
      <c r="D20" s="122"/>
      <c r="E20" s="58" t="s">
        <v>38</v>
      </c>
      <c r="F20" s="74">
        <v>265446</v>
      </c>
      <c r="G20" s="73">
        <v>750000</v>
      </c>
      <c r="H20" s="73">
        <v>750000</v>
      </c>
      <c r="I20" s="73">
        <f t="shared" si="1"/>
        <v>100</v>
      </c>
    </row>
    <row r="21" spans="2:9" ht="30" customHeight="1" x14ac:dyDescent="0.25">
      <c r="B21" s="117" t="s">
        <v>191</v>
      </c>
      <c r="C21" s="118"/>
      <c r="D21" s="123"/>
      <c r="E21" s="72" t="s">
        <v>199</v>
      </c>
      <c r="F21" s="74">
        <f>SUM(F22,F78,F150,F181,F192)</f>
        <v>11065907</v>
      </c>
      <c r="G21" s="74">
        <f>SUM(G22,G78,G136,G150,G181,G192)</f>
        <v>12271943</v>
      </c>
      <c r="H21" s="74">
        <f>SUM(H22,H78,H136,H150,H181,H192)</f>
        <v>12989156.92</v>
      </c>
      <c r="I21" s="73">
        <f t="shared" si="1"/>
        <v>105.84433874896584</v>
      </c>
    </row>
    <row r="22" spans="2:9" ht="30" customHeight="1" x14ac:dyDescent="0.25">
      <c r="B22" s="120" t="s">
        <v>192</v>
      </c>
      <c r="C22" s="121"/>
      <c r="D22" s="122"/>
      <c r="E22" s="52" t="s">
        <v>182</v>
      </c>
      <c r="F22" s="74">
        <f>SUM(F23,F29,F57,F61,F63,F65,F75)</f>
        <v>6376477</v>
      </c>
      <c r="G22" s="74">
        <f>SUM(G23,G29,G57,G61,G63,G65,G75)</f>
        <v>7358950</v>
      </c>
      <c r="H22" s="74">
        <f>SUM(H23,H29,H57,H61,H63,H65,H75)</f>
        <v>7457275.7700000014</v>
      </c>
      <c r="I22" s="73">
        <f t="shared" si="1"/>
        <v>101.33613857955281</v>
      </c>
    </row>
    <row r="23" spans="2:9" ht="30" customHeight="1" x14ac:dyDescent="0.25">
      <c r="B23" s="50">
        <v>31</v>
      </c>
      <c r="C23" s="51"/>
      <c r="D23" s="39"/>
      <c r="E23" s="58" t="s">
        <v>5</v>
      </c>
      <c r="F23" s="74">
        <f>SUM(F24:F28)</f>
        <v>1861755</v>
      </c>
      <c r="G23" s="74">
        <f t="shared" ref="G23:H23" si="4">SUM(G24:G28)</f>
        <v>3505000</v>
      </c>
      <c r="H23" s="74">
        <f t="shared" si="4"/>
        <v>3581940.36</v>
      </c>
      <c r="I23" s="73">
        <f t="shared" si="1"/>
        <v>102.19516005706133</v>
      </c>
    </row>
    <row r="24" spans="2:9" ht="30" customHeight="1" x14ac:dyDescent="0.25">
      <c r="B24" s="50">
        <v>3111</v>
      </c>
      <c r="C24" s="51"/>
      <c r="D24" s="39"/>
      <c r="E24" s="58" t="s">
        <v>38</v>
      </c>
      <c r="F24" s="74">
        <v>1483495</v>
      </c>
      <c r="G24" s="73">
        <v>2580000</v>
      </c>
      <c r="H24" s="73">
        <f>1010892.3+1708021.55</f>
        <v>2718913.85</v>
      </c>
      <c r="I24" s="73">
        <f t="shared" si="1"/>
        <v>105.38425775193798</v>
      </c>
    </row>
    <row r="25" spans="2:9" ht="30" customHeight="1" x14ac:dyDescent="0.25">
      <c r="B25" s="50">
        <v>3113</v>
      </c>
      <c r="C25" s="51"/>
      <c r="D25" s="39"/>
      <c r="E25" s="58" t="s">
        <v>109</v>
      </c>
      <c r="F25" s="74">
        <v>26545</v>
      </c>
      <c r="G25" s="73">
        <v>65000</v>
      </c>
      <c r="H25" s="73">
        <f>18085.35+70922.63</f>
        <v>89007.98000000001</v>
      </c>
      <c r="I25" s="73">
        <f t="shared" si="1"/>
        <v>136.93535384615387</v>
      </c>
    </row>
    <row r="26" spans="2:9" ht="30" customHeight="1" x14ac:dyDescent="0.25">
      <c r="B26" s="50">
        <v>3121</v>
      </c>
      <c r="C26" s="51"/>
      <c r="D26" s="39"/>
      <c r="E26" s="58" t="s">
        <v>110</v>
      </c>
      <c r="F26" s="74">
        <v>119451</v>
      </c>
      <c r="G26" s="73">
        <v>380000</v>
      </c>
      <c r="H26" s="73">
        <f>96458.69+208322.38</f>
        <v>304781.07</v>
      </c>
      <c r="I26" s="73">
        <f t="shared" si="1"/>
        <v>80.2055447368421</v>
      </c>
    </row>
    <row r="27" spans="2:9" ht="30" customHeight="1" x14ac:dyDescent="0.25">
      <c r="B27" s="50">
        <v>3131</v>
      </c>
      <c r="C27" s="51"/>
      <c r="D27" s="39"/>
      <c r="E27" s="58" t="s">
        <v>112</v>
      </c>
      <c r="F27" s="74">
        <v>19908</v>
      </c>
      <c r="G27" s="73">
        <v>5000</v>
      </c>
      <c r="H27" s="73">
        <v>0</v>
      </c>
      <c r="I27" s="73">
        <f t="shared" si="1"/>
        <v>0</v>
      </c>
    </row>
    <row r="28" spans="2:9" ht="30" customHeight="1" x14ac:dyDescent="0.25">
      <c r="B28" s="50">
        <v>3132</v>
      </c>
      <c r="C28" s="51"/>
      <c r="D28" s="39"/>
      <c r="E28" s="58" t="s">
        <v>113</v>
      </c>
      <c r="F28" s="74">
        <v>212356</v>
      </c>
      <c r="G28" s="73">
        <v>475000</v>
      </c>
      <c r="H28" s="73">
        <f>157889.08+311348.38</f>
        <v>469237.45999999996</v>
      </c>
      <c r="I28" s="73">
        <f t="shared" si="1"/>
        <v>98.786833684210521</v>
      </c>
    </row>
    <row r="29" spans="2:9" ht="30" customHeight="1" x14ac:dyDescent="0.25">
      <c r="B29" s="50">
        <v>32</v>
      </c>
      <c r="C29" s="51"/>
      <c r="D29" s="39"/>
      <c r="E29" s="58" t="s">
        <v>12</v>
      </c>
      <c r="F29" s="74">
        <f>SUM(F30:F55,F56)</f>
        <v>4031184</v>
      </c>
      <c r="G29" s="74">
        <f>SUM(G30:G45,G48:G55,G56)</f>
        <v>3643385</v>
      </c>
      <c r="H29" s="74">
        <f>SUM(H30:H45,H48:H55,H56)</f>
        <v>3645741.3800000013</v>
      </c>
      <c r="I29" s="73">
        <f t="shared" si="1"/>
        <v>100.06467556955967</v>
      </c>
    </row>
    <row r="30" spans="2:9" ht="30" customHeight="1" x14ac:dyDescent="0.25">
      <c r="B30" s="50">
        <v>3211</v>
      </c>
      <c r="C30" s="51"/>
      <c r="D30" s="39"/>
      <c r="E30" s="58" t="s">
        <v>40</v>
      </c>
      <c r="F30" s="74">
        <v>7963</v>
      </c>
      <c r="G30" s="73">
        <v>10000</v>
      </c>
      <c r="H30" s="73">
        <f>6498.2+7829.37</f>
        <v>14327.57</v>
      </c>
      <c r="I30" s="73">
        <f t="shared" si="1"/>
        <v>143.2757</v>
      </c>
    </row>
    <row r="31" spans="2:9" ht="30" customHeight="1" x14ac:dyDescent="0.25">
      <c r="B31" s="50">
        <v>3212</v>
      </c>
      <c r="C31" s="51"/>
      <c r="D31" s="39"/>
      <c r="E31" s="58" t="s">
        <v>114</v>
      </c>
      <c r="F31" s="74">
        <v>59725</v>
      </c>
      <c r="G31" s="73">
        <v>100000</v>
      </c>
      <c r="H31" s="73">
        <f>26591.78+67759.86</f>
        <v>94351.64</v>
      </c>
      <c r="I31" s="73">
        <f t="shared" si="1"/>
        <v>94.351640000000003</v>
      </c>
    </row>
    <row r="32" spans="2:9" ht="30" customHeight="1" x14ac:dyDescent="0.25">
      <c r="B32" s="50">
        <v>3213</v>
      </c>
      <c r="C32" s="51"/>
      <c r="D32" s="39"/>
      <c r="E32" s="58" t="s">
        <v>115</v>
      </c>
      <c r="F32" s="74">
        <v>6809</v>
      </c>
      <c r="G32" s="73">
        <v>12000</v>
      </c>
      <c r="H32" s="73">
        <f>9280.6+4050.98</f>
        <v>13331.58</v>
      </c>
      <c r="I32" s="73">
        <f t="shared" si="1"/>
        <v>111.09649999999999</v>
      </c>
    </row>
    <row r="33" spans="2:9" ht="30" customHeight="1" x14ac:dyDescent="0.25">
      <c r="B33" s="50">
        <v>3214</v>
      </c>
      <c r="C33" s="51"/>
      <c r="D33" s="39"/>
      <c r="E33" s="58" t="s">
        <v>116</v>
      </c>
      <c r="F33" s="74">
        <v>500</v>
      </c>
      <c r="G33" s="73">
        <v>50</v>
      </c>
      <c r="H33" s="73">
        <v>0</v>
      </c>
      <c r="I33" s="73">
        <f t="shared" si="1"/>
        <v>0</v>
      </c>
    </row>
    <row r="34" spans="2:9" ht="30" customHeight="1" x14ac:dyDescent="0.25">
      <c r="B34" s="50">
        <v>3221</v>
      </c>
      <c r="C34" s="51"/>
      <c r="D34" s="39"/>
      <c r="E34" s="58" t="s">
        <v>118</v>
      </c>
      <c r="F34" s="74">
        <v>107161</v>
      </c>
      <c r="G34" s="73">
        <v>155800</v>
      </c>
      <c r="H34" s="73">
        <f>31252.19+128826.4</f>
        <v>160078.59</v>
      </c>
      <c r="I34" s="73">
        <f t="shared" si="1"/>
        <v>102.74620667522466</v>
      </c>
    </row>
    <row r="35" spans="2:9" ht="30" customHeight="1" x14ac:dyDescent="0.25">
      <c r="B35" s="50">
        <v>3222</v>
      </c>
      <c r="C35" s="51"/>
      <c r="D35" s="39"/>
      <c r="E35" s="58" t="s">
        <v>119</v>
      </c>
      <c r="F35" s="74">
        <v>582653</v>
      </c>
      <c r="G35" s="73">
        <v>701229</v>
      </c>
      <c r="H35" s="73">
        <f>83357.45+621625.63</f>
        <v>704983.08</v>
      </c>
      <c r="I35" s="73">
        <f t="shared" si="1"/>
        <v>100.53535720855811</v>
      </c>
    </row>
    <row r="36" spans="2:9" ht="30" customHeight="1" x14ac:dyDescent="0.25">
      <c r="B36" s="50">
        <v>3223</v>
      </c>
      <c r="C36" s="51"/>
      <c r="D36" s="39"/>
      <c r="E36" s="58" t="s">
        <v>120</v>
      </c>
      <c r="F36" s="74">
        <v>700776</v>
      </c>
      <c r="G36" s="73">
        <v>480000</v>
      </c>
      <c r="H36" s="73">
        <f>125145.66+362911.39</f>
        <v>488057.05000000005</v>
      </c>
      <c r="I36" s="73">
        <f t="shared" si="1"/>
        <v>101.67855208333334</v>
      </c>
    </row>
    <row r="37" spans="2:9" ht="30" customHeight="1" x14ac:dyDescent="0.25">
      <c r="B37" s="50">
        <v>3224</v>
      </c>
      <c r="C37" s="51"/>
      <c r="D37" s="39"/>
      <c r="E37" s="58" t="s">
        <v>121</v>
      </c>
      <c r="F37" s="74">
        <v>242003</v>
      </c>
      <c r="G37" s="73">
        <v>283450</v>
      </c>
      <c r="H37" s="73">
        <f>72721.28+93335.7</f>
        <v>166056.97999999998</v>
      </c>
      <c r="I37" s="73">
        <f t="shared" si="1"/>
        <v>58.584222967013574</v>
      </c>
    </row>
    <row r="38" spans="2:9" ht="30" customHeight="1" x14ac:dyDescent="0.25">
      <c r="B38" s="50">
        <v>3225</v>
      </c>
      <c r="C38" s="51"/>
      <c r="D38" s="39"/>
      <c r="E38" s="58" t="s">
        <v>122</v>
      </c>
      <c r="F38" s="74">
        <v>92099</v>
      </c>
      <c r="G38" s="73">
        <v>78000</v>
      </c>
      <c r="H38" s="73">
        <f>12581.95+34968.09</f>
        <v>47550.039999999994</v>
      </c>
      <c r="I38" s="73">
        <f t="shared" si="1"/>
        <v>60.961589743589741</v>
      </c>
    </row>
    <row r="39" spans="2:9" ht="30" customHeight="1" x14ac:dyDescent="0.25">
      <c r="B39" s="50">
        <v>3227</v>
      </c>
      <c r="C39" s="51"/>
      <c r="D39" s="39"/>
      <c r="E39" s="58" t="s">
        <v>123</v>
      </c>
      <c r="F39" s="74">
        <v>34906</v>
      </c>
      <c r="G39" s="73">
        <v>60000</v>
      </c>
      <c r="H39" s="73">
        <f>4440.68+12331.01</f>
        <v>16771.690000000002</v>
      </c>
      <c r="I39" s="73">
        <f t="shared" si="1"/>
        <v>27.952816666666671</v>
      </c>
    </row>
    <row r="40" spans="2:9" ht="30" customHeight="1" x14ac:dyDescent="0.25">
      <c r="B40" s="50">
        <v>3231</v>
      </c>
      <c r="C40" s="51"/>
      <c r="D40" s="39"/>
      <c r="E40" s="58" t="s">
        <v>125</v>
      </c>
      <c r="F40" s="74">
        <v>19908</v>
      </c>
      <c r="G40" s="73">
        <v>15000</v>
      </c>
      <c r="H40" s="73">
        <f>4982.17+9764.94</f>
        <v>14747.11</v>
      </c>
      <c r="I40" s="73">
        <f t="shared" si="1"/>
        <v>98.314066666666662</v>
      </c>
    </row>
    <row r="41" spans="2:9" ht="30" customHeight="1" x14ac:dyDescent="0.25">
      <c r="B41" s="50">
        <v>3232</v>
      </c>
      <c r="C41" s="51"/>
      <c r="D41" s="39"/>
      <c r="E41" s="58" t="s">
        <v>126</v>
      </c>
      <c r="F41" s="74">
        <v>1322422</v>
      </c>
      <c r="G41" s="73">
        <v>772000</v>
      </c>
      <c r="H41" s="73">
        <f>582152.28+376637.75</f>
        <v>958790.03</v>
      </c>
      <c r="I41" s="73">
        <f t="shared" si="1"/>
        <v>124.19559974093264</v>
      </c>
    </row>
    <row r="42" spans="2:9" ht="30" customHeight="1" x14ac:dyDescent="0.25">
      <c r="B42" s="50">
        <v>3233</v>
      </c>
      <c r="C42" s="51"/>
      <c r="D42" s="39"/>
      <c r="E42" s="58" t="s">
        <v>127</v>
      </c>
      <c r="F42" s="74">
        <v>103524</v>
      </c>
      <c r="G42" s="73">
        <v>90000</v>
      </c>
      <c r="H42" s="73">
        <f>36372.32+75758.86</f>
        <v>112131.18</v>
      </c>
      <c r="I42" s="73">
        <f t="shared" si="1"/>
        <v>124.59019999999998</v>
      </c>
    </row>
    <row r="43" spans="2:9" ht="30" customHeight="1" x14ac:dyDescent="0.25">
      <c r="B43" s="50">
        <v>3234</v>
      </c>
      <c r="C43" s="51"/>
      <c r="D43" s="39"/>
      <c r="E43" s="58" t="s">
        <v>128</v>
      </c>
      <c r="F43" s="74">
        <v>192634</v>
      </c>
      <c r="G43" s="73">
        <v>129336</v>
      </c>
      <c r="H43" s="73">
        <f>42281.86+183358.53</f>
        <v>225640.39</v>
      </c>
      <c r="I43" s="73">
        <f t="shared" si="1"/>
        <v>174.46062194593927</v>
      </c>
    </row>
    <row r="44" spans="2:9" ht="30" customHeight="1" x14ac:dyDescent="0.25">
      <c r="B44" s="50">
        <v>3235</v>
      </c>
      <c r="C44" s="51"/>
      <c r="D44" s="39"/>
      <c r="E44" s="58" t="s">
        <v>129</v>
      </c>
      <c r="F44" s="74">
        <v>11945</v>
      </c>
      <c r="G44" s="73">
        <v>5000</v>
      </c>
      <c r="H44" s="73">
        <f>480+861.99</f>
        <v>1341.99</v>
      </c>
      <c r="I44" s="73">
        <f t="shared" si="1"/>
        <v>26.839800000000004</v>
      </c>
    </row>
    <row r="45" spans="2:9" ht="30" customHeight="1" x14ac:dyDescent="0.25">
      <c r="B45" s="50">
        <v>3236</v>
      </c>
      <c r="C45" s="51"/>
      <c r="D45" s="39"/>
      <c r="E45" s="58" t="s">
        <v>130</v>
      </c>
      <c r="F45" s="74">
        <v>26545</v>
      </c>
      <c r="G45" s="73">
        <v>29750</v>
      </c>
      <c r="H45" s="73">
        <f>619.74+3327.76</f>
        <v>3947.5</v>
      </c>
      <c r="I45" s="73">
        <f t="shared" si="1"/>
        <v>13.268907563025209</v>
      </c>
    </row>
    <row r="46" spans="2:9" ht="25.5" x14ac:dyDescent="0.25">
      <c r="B46" s="110" t="s">
        <v>7</v>
      </c>
      <c r="C46" s="111"/>
      <c r="D46" s="111"/>
      <c r="E46" s="112"/>
      <c r="F46" s="33" t="s">
        <v>60</v>
      </c>
      <c r="G46" s="33" t="s">
        <v>222</v>
      </c>
      <c r="H46" s="33" t="s">
        <v>221</v>
      </c>
      <c r="I46" s="33" t="s">
        <v>58</v>
      </c>
    </row>
    <row r="47" spans="2:9" s="38" customFormat="1" ht="11.25" x14ac:dyDescent="0.2">
      <c r="B47" s="113">
        <v>1</v>
      </c>
      <c r="C47" s="114"/>
      <c r="D47" s="114"/>
      <c r="E47" s="115"/>
      <c r="F47" s="35">
        <v>2</v>
      </c>
      <c r="G47" s="35">
        <v>2</v>
      </c>
      <c r="H47" s="35">
        <v>3</v>
      </c>
      <c r="I47" s="35" t="s">
        <v>211</v>
      </c>
    </row>
    <row r="48" spans="2:9" ht="30" customHeight="1" x14ac:dyDescent="0.25">
      <c r="B48" s="50">
        <v>3237</v>
      </c>
      <c r="C48" s="51"/>
      <c r="D48" s="39"/>
      <c r="E48" s="58" t="s">
        <v>131</v>
      </c>
      <c r="F48" s="74">
        <v>106178</v>
      </c>
      <c r="G48" s="73">
        <v>218000</v>
      </c>
      <c r="H48" s="73">
        <f>13274.65+58038.89</f>
        <v>71313.539999999994</v>
      </c>
      <c r="I48" s="73">
        <f t="shared" si="1"/>
        <v>32.712633027522934</v>
      </c>
    </row>
    <row r="49" spans="2:9" ht="30" customHeight="1" x14ac:dyDescent="0.25">
      <c r="B49" s="50">
        <v>3238</v>
      </c>
      <c r="C49" s="51"/>
      <c r="D49" s="39"/>
      <c r="E49" s="58" t="s">
        <v>132</v>
      </c>
      <c r="F49" s="74">
        <v>66361</v>
      </c>
      <c r="G49" s="73">
        <v>82000</v>
      </c>
      <c r="H49" s="73">
        <f>11363.93+45311.14</f>
        <v>56675.07</v>
      </c>
      <c r="I49" s="73">
        <f t="shared" si="1"/>
        <v>69.115939024390244</v>
      </c>
    </row>
    <row r="50" spans="2:9" ht="30" customHeight="1" x14ac:dyDescent="0.25">
      <c r="B50" s="50">
        <v>3239</v>
      </c>
      <c r="C50" s="51"/>
      <c r="D50" s="39"/>
      <c r="E50" s="58" t="s">
        <v>133</v>
      </c>
      <c r="F50" s="74">
        <v>159267</v>
      </c>
      <c r="G50" s="73">
        <v>119770</v>
      </c>
      <c r="H50" s="73">
        <f>19293.48+157262.08</f>
        <v>176555.56</v>
      </c>
      <c r="I50" s="73">
        <f t="shared" si="1"/>
        <v>147.41217333222008</v>
      </c>
    </row>
    <row r="51" spans="2:9" ht="30" customHeight="1" x14ac:dyDescent="0.25">
      <c r="B51" s="50">
        <v>3241</v>
      </c>
      <c r="C51" s="51"/>
      <c r="D51" s="39"/>
      <c r="E51" s="58" t="s">
        <v>134</v>
      </c>
      <c r="F51" s="74">
        <v>664</v>
      </c>
      <c r="G51" s="73">
        <v>1000</v>
      </c>
      <c r="H51" s="73">
        <v>0</v>
      </c>
      <c r="I51" s="73">
        <f t="shared" si="1"/>
        <v>0</v>
      </c>
    </row>
    <row r="52" spans="2:9" ht="30" customHeight="1" x14ac:dyDescent="0.25">
      <c r="B52" s="50">
        <v>3292</v>
      </c>
      <c r="C52" s="51"/>
      <c r="D52" s="39"/>
      <c r="E52" s="58" t="s">
        <v>137</v>
      </c>
      <c r="F52" s="74">
        <v>45789</v>
      </c>
      <c r="G52" s="73">
        <v>70000</v>
      </c>
      <c r="H52" s="73">
        <f>4561.81+8993.44</f>
        <v>13555.25</v>
      </c>
      <c r="I52" s="73">
        <f t="shared" si="1"/>
        <v>19.364642857142858</v>
      </c>
    </row>
    <row r="53" spans="2:9" ht="30" customHeight="1" x14ac:dyDescent="0.25">
      <c r="B53" s="50">
        <v>3293</v>
      </c>
      <c r="C53" s="51"/>
      <c r="D53" s="39"/>
      <c r="E53" s="58" t="s">
        <v>138</v>
      </c>
      <c r="F53" s="74">
        <v>7963</v>
      </c>
      <c r="G53" s="73">
        <v>10000</v>
      </c>
      <c r="H53" s="73">
        <f>2205.7+6030.86</f>
        <v>8236.56</v>
      </c>
      <c r="I53" s="73">
        <f t="shared" si="1"/>
        <v>82.365600000000001</v>
      </c>
    </row>
    <row r="54" spans="2:9" ht="30" customHeight="1" x14ac:dyDescent="0.25">
      <c r="B54" s="50">
        <v>3294</v>
      </c>
      <c r="C54" s="51"/>
      <c r="D54" s="39"/>
      <c r="E54" s="58" t="s">
        <v>139</v>
      </c>
      <c r="F54" s="74">
        <v>664</v>
      </c>
      <c r="G54" s="73">
        <v>1000</v>
      </c>
      <c r="H54" s="73">
        <f>225.6+225.6</f>
        <v>451.2</v>
      </c>
      <c r="I54" s="73">
        <f t="shared" si="1"/>
        <v>45.12</v>
      </c>
    </row>
    <row r="55" spans="2:9" ht="30" customHeight="1" x14ac:dyDescent="0.25">
      <c r="B55" s="50">
        <v>3295</v>
      </c>
      <c r="C55" s="51"/>
      <c r="D55" s="39"/>
      <c r="E55" s="58" t="s">
        <v>140</v>
      </c>
      <c r="F55" s="74">
        <v>79634</v>
      </c>
      <c r="G55" s="73">
        <v>125000</v>
      </c>
      <c r="H55" s="73">
        <f>36213.03+175629.78</f>
        <v>211842.81</v>
      </c>
      <c r="I55" s="73">
        <f t="shared" si="1"/>
        <v>169.47424799999999</v>
      </c>
    </row>
    <row r="56" spans="2:9" ht="30" customHeight="1" x14ac:dyDescent="0.25">
      <c r="B56" s="50">
        <v>3299</v>
      </c>
      <c r="C56" s="51"/>
      <c r="D56" s="39"/>
      <c r="E56" s="58" t="s">
        <v>135</v>
      </c>
      <c r="F56" s="74">
        <v>53089</v>
      </c>
      <c r="G56" s="73">
        <v>95000</v>
      </c>
      <c r="H56" s="73">
        <f>18030.5+66974.47</f>
        <v>85004.97</v>
      </c>
      <c r="I56" s="73">
        <f t="shared" si="1"/>
        <v>89.478915789473689</v>
      </c>
    </row>
    <row r="57" spans="2:9" ht="30" customHeight="1" x14ac:dyDescent="0.25">
      <c r="B57" s="50">
        <v>34</v>
      </c>
      <c r="C57" s="51"/>
      <c r="D57" s="39"/>
      <c r="E57" s="58" t="s">
        <v>142</v>
      </c>
      <c r="F57" s="74">
        <f>SUM(F58:F60)</f>
        <v>1264</v>
      </c>
      <c r="G57" s="74">
        <f t="shared" ref="G57:H57" si="5">SUM(G58:G60)</f>
        <v>900</v>
      </c>
      <c r="H57" s="74">
        <f t="shared" si="5"/>
        <v>9853.81</v>
      </c>
      <c r="I57" s="73">
        <f t="shared" si="1"/>
        <v>1094.8677777777777</v>
      </c>
    </row>
    <row r="58" spans="2:9" ht="30" customHeight="1" x14ac:dyDescent="0.25">
      <c r="B58" s="50">
        <v>3431</v>
      </c>
      <c r="C58" s="51"/>
      <c r="D58" s="39"/>
      <c r="E58" s="58" t="s">
        <v>146</v>
      </c>
      <c r="F58" s="74">
        <v>0</v>
      </c>
      <c r="G58" s="73">
        <v>0</v>
      </c>
      <c r="H58" s="73">
        <v>0</v>
      </c>
      <c r="I58" s="73"/>
    </row>
    <row r="59" spans="2:9" ht="30" customHeight="1" x14ac:dyDescent="0.25">
      <c r="B59" s="50">
        <v>3432</v>
      </c>
      <c r="C59" s="51"/>
      <c r="D59" s="39"/>
      <c r="E59" s="58" t="s">
        <v>147</v>
      </c>
      <c r="F59" s="74">
        <v>664</v>
      </c>
      <c r="G59" s="73">
        <v>500</v>
      </c>
      <c r="H59" s="73">
        <v>489.66</v>
      </c>
      <c r="I59" s="73">
        <f t="shared" si="1"/>
        <v>97.932000000000002</v>
      </c>
    </row>
    <row r="60" spans="2:9" ht="30" customHeight="1" x14ac:dyDescent="0.25">
      <c r="B60" s="50">
        <v>3433</v>
      </c>
      <c r="C60" s="51"/>
      <c r="D60" s="39"/>
      <c r="E60" s="58" t="s">
        <v>148</v>
      </c>
      <c r="F60" s="74">
        <v>600</v>
      </c>
      <c r="G60" s="73">
        <v>400</v>
      </c>
      <c r="H60" s="73">
        <f>83.31+9280.84</f>
        <v>9364.15</v>
      </c>
      <c r="I60" s="73">
        <f t="shared" si="1"/>
        <v>2341.0374999999999</v>
      </c>
    </row>
    <row r="61" spans="2:9" ht="30" customHeight="1" x14ac:dyDescent="0.25">
      <c r="B61" s="50">
        <v>37</v>
      </c>
      <c r="C61" s="51"/>
      <c r="D61" s="39"/>
      <c r="E61" s="58" t="s">
        <v>150</v>
      </c>
      <c r="F61" s="74">
        <f>SUM(F62)</f>
        <v>3982</v>
      </c>
      <c r="G61" s="74">
        <f t="shared" ref="G61:H61" si="6">SUM(G62)</f>
        <v>0</v>
      </c>
      <c r="H61" s="74">
        <f t="shared" si="6"/>
        <v>690.15</v>
      </c>
      <c r="I61" s="73" t="e">
        <f t="shared" si="1"/>
        <v>#DIV/0!</v>
      </c>
    </row>
    <row r="62" spans="2:9" ht="30" customHeight="1" x14ac:dyDescent="0.25">
      <c r="B62" s="50">
        <v>3721</v>
      </c>
      <c r="C62" s="51"/>
      <c r="D62" s="39"/>
      <c r="E62" s="58" t="s">
        <v>152</v>
      </c>
      <c r="F62" s="74">
        <v>3982</v>
      </c>
      <c r="G62" s="73">
        <v>0</v>
      </c>
      <c r="H62" s="73">
        <v>690.15</v>
      </c>
      <c r="I62" s="73" t="e">
        <f t="shared" si="1"/>
        <v>#DIV/0!</v>
      </c>
    </row>
    <row r="63" spans="2:9" ht="30" customHeight="1" x14ac:dyDescent="0.25">
      <c r="B63" s="50">
        <v>38</v>
      </c>
      <c r="C63" s="51"/>
      <c r="D63" s="39"/>
      <c r="E63" s="58" t="s">
        <v>194</v>
      </c>
      <c r="F63" s="74">
        <f>SUM(F64)</f>
        <v>664</v>
      </c>
      <c r="G63" s="74">
        <f t="shared" ref="G63:H63" si="7">SUM(G64)</f>
        <v>500</v>
      </c>
      <c r="H63" s="74">
        <f t="shared" si="7"/>
        <v>0</v>
      </c>
      <c r="I63" s="73">
        <f t="shared" si="1"/>
        <v>0</v>
      </c>
    </row>
    <row r="64" spans="2:9" ht="30" customHeight="1" x14ac:dyDescent="0.25">
      <c r="B64" s="50">
        <v>3835</v>
      </c>
      <c r="C64" s="51"/>
      <c r="D64" s="39"/>
      <c r="E64" s="58" t="s">
        <v>97</v>
      </c>
      <c r="F64" s="74">
        <v>664</v>
      </c>
      <c r="G64" s="73">
        <v>500</v>
      </c>
      <c r="H64" s="73"/>
      <c r="I64" s="73">
        <f t="shared" si="1"/>
        <v>0</v>
      </c>
    </row>
    <row r="65" spans="2:9" ht="30" customHeight="1" x14ac:dyDescent="0.25">
      <c r="B65" s="50">
        <v>42</v>
      </c>
      <c r="C65" s="51"/>
      <c r="D65" s="39"/>
      <c r="E65" s="58" t="s">
        <v>153</v>
      </c>
      <c r="F65" s="74">
        <f>SUM(F66:F73)</f>
        <v>465310</v>
      </c>
      <c r="G65" s="74">
        <f>SUM(G66:G74)</f>
        <v>189750</v>
      </c>
      <c r="H65" s="74">
        <f>SUM(H66:H74)</f>
        <v>198191.43999999997</v>
      </c>
      <c r="I65" s="73">
        <f t="shared" si="1"/>
        <v>104.44871673254281</v>
      </c>
    </row>
    <row r="66" spans="2:9" ht="30" customHeight="1" x14ac:dyDescent="0.25">
      <c r="B66" s="50">
        <v>4214</v>
      </c>
      <c r="C66" s="51"/>
      <c r="D66" s="39"/>
      <c r="E66" s="58" t="s">
        <v>156</v>
      </c>
      <c r="F66" s="74">
        <v>108599</v>
      </c>
      <c r="G66" s="73">
        <v>1200</v>
      </c>
      <c r="H66" s="73">
        <v>0</v>
      </c>
      <c r="I66" s="73">
        <f t="shared" si="1"/>
        <v>0</v>
      </c>
    </row>
    <row r="67" spans="2:9" ht="30" customHeight="1" x14ac:dyDescent="0.25">
      <c r="B67" s="50">
        <v>4221</v>
      </c>
      <c r="C67" s="51"/>
      <c r="D67" s="39"/>
      <c r="E67" s="58" t="s">
        <v>158</v>
      </c>
      <c r="F67" s="74">
        <v>19908</v>
      </c>
      <c r="G67" s="73">
        <v>8900</v>
      </c>
      <c r="H67" s="73">
        <f>580+9397.9</f>
        <v>9977.9</v>
      </c>
      <c r="I67" s="73">
        <f t="shared" si="1"/>
        <v>112.11123595505616</v>
      </c>
    </row>
    <row r="68" spans="2:9" ht="30" customHeight="1" x14ac:dyDescent="0.25">
      <c r="B68" s="50">
        <v>4222</v>
      </c>
      <c r="C68" s="51"/>
      <c r="D68" s="39"/>
      <c r="E68" s="58" t="s">
        <v>159</v>
      </c>
      <c r="F68" s="74">
        <v>37089</v>
      </c>
      <c r="G68" s="73">
        <v>4500</v>
      </c>
      <c r="H68" s="73">
        <f>2157.83+10330</f>
        <v>12487.83</v>
      </c>
      <c r="I68" s="73">
        <f t="shared" si="1"/>
        <v>277.50733333333335</v>
      </c>
    </row>
    <row r="69" spans="2:9" ht="30" customHeight="1" x14ac:dyDescent="0.25">
      <c r="B69" s="50">
        <v>4223</v>
      </c>
      <c r="C69" s="51"/>
      <c r="D69" s="39"/>
      <c r="E69" s="58" t="s">
        <v>160</v>
      </c>
      <c r="F69" s="74">
        <v>79634</v>
      </c>
      <c r="G69" s="73">
        <v>40500</v>
      </c>
      <c r="H69" s="73">
        <f>22493.38+24947.56</f>
        <v>47440.94</v>
      </c>
      <c r="I69" s="73">
        <f t="shared" si="1"/>
        <v>117.13812345679014</v>
      </c>
    </row>
    <row r="70" spans="2:9" ht="30" customHeight="1" x14ac:dyDescent="0.25">
      <c r="B70" s="50">
        <v>4225</v>
      </c>
      <c r="C70" s="51"/>
      <c r="D70" s="39"/>
      <c r="E70" s="58" t="s">
        <v>162</v>
      </c>
      <c r="F70" s="74">
        <v>13272</v>
      </c>
      <c r="G70" s="73">
        <v>8000</v>
      </c>
      <c r="H70" s="73">
        <f>3496.18+1547.85</f>
        <v>5044.03</v>
      </c>
      <c r="I70" s="73">
        <f t="shared" si="1"/>
        <v>63.050374999999988</v>
      </c>
    </row>
    <row r="71" spans="2:9" ht="30" customHeight="1" x14ac:dyDescent="0.25">
      <c r="B71" s="50">
        <v>4226</v>
      </c>
      <c r="C71" s="51"/>
      <c r="D71" s="39"/>
      <c r="E71" s="58" t="s">
        <v>163</v>
      </c>
      <c r="F71" s="74">
        <v>1100</v>
      </c>
      <c r="G71" s="73">
        <v>5500</v>
      </c>
      <c r="H71" s="73">
        <v>5200</v>
      </c>
      <c r="I71" s="73">
        <f t="shared" si="1"/>
        <v>94.545454545454547</v>
      </c>
    </row>
    <row r="72" spans="2:9" ht="30" customHeight="1" x14ac:dyDescent="0.25">
      <c r="B72" s="50">
        <v>4227</v>
      </c>
      <c r="C72" s="51"/>
      <c r="D72" s="39"/>
      <c r="E72" s="58" t="s">
        <v>108</v>
      </c>
      <c r="F72" s="74">
        <v>165904</v>
      </c>
      <c r="G72" s="73">
        <v>94250</v>
      </c>
      <c r="H72" s="73">
        <f>52595.03+42436.19</f>
        <v>95031.22</v>
      </c>
      <c r="I72" s="73">
        <f t="shared" si="1"/>
        <v>100.82888063660478</v>
      </c>
    </row>
    <row r="73" spans="2:9" ht="30" customHeight="1" x14ac:dyDescent="0.25">
      <c r="B73" s="50">
        <v>4231</v>
      </c>
      <c r="C73" s="51"/>
      <c r="D73" s="39"/>
      <c r="E73" s="58" t="s">
        <v>100</v>
      </c>
      <c r="F73" s="74">
        <v>39804</v>
      </c>
      <c r="G73" s="73">
        <v>25000</v>
      </c>
      <c r="H73" s="73">
        <v>23009.52</v>
      </c>
      <c r="I73" s="73">
        <f t="shared" si="1"/>
        <v>92.038079999999994</v>
      </c>
    </row>
    <row r="74" spans="2:9" ht="30" customHeight="1" x14ac:dyDescent="0.25">
      <c r="B74" s="50">
        <v>4262</v>
      </c>
      <c r="C74" s="51"/>
      <c r="D74" s="39"/>
      <c r="E74" s="58" t="s">
        <v>223</v>
      </c>
      <c r="F74" s="74"/>
      <c r="G74" s="74">
        <v>1900</v>
      </c>
      <c r="H74" s="74"/>
      <c r="I74" s="73"/>
    </row>
    <row r="75" spans="2:9" ht="30" customHeight="1" x14ac:dyDescent="0.25">
      <c r="B75" s="50">
        <v>45</v>
      </c>
      <c r="C75" s="51"/>
      <c r="D75" s="39"/>
      <c r="E75" s="58" t="s">
        <v>165</v>
      </c>
      <c r="F75" s="74">
        <f>SUM(F76:F77)</f>
        <v>12318</v>
      </c>
      <c r="G75" s="74">
        <f>SUM(G76:G77)</f>
        <v>19415</v>
      </c>
      <c r="H75" s="74">
        <f t="shared" ref="H75" si="8">SUM(H76:H77)</f>
        <v>20858.63</v>
      </c>
      <c r="I75" s="73">
        <f t="shared" si="1"/>
        <v>107.43564254442441</v>
      </c>
    </row>
    <row r="76" spans="2:9" ht="30" customHeight="1" x14ac:dyDescent="0.25">
      <c r="B76" s="50">
        <v>4511</v>
      </c>
      <c r="C76" s="51"/>
      <c r="D76" s="39"/>
      <c r="E76" s="58" t="s">
        <v>166</v>
      </c>
      <c r="F76" s="74">
        <v>11945</v>
      </c>
      <c r="G76" s="73">
        <v>0</v>
      </c>
      <c r="H76" s="73">
        <v>0</v>
      </c>
      <c r="I76" s="73" t="e">
        <f t="shared" si="1"/>
        <v>#DIV/0!</v>
      </c>
    </row>
    <row r="77" spans="2:9" ht="30" customHeight="1" x14ac:dyDescent="0.25">
      <c r="B77" s="50">
        <v>4521</v>
      </c>
      <c r="C77" s="51"/>
      <c r="D77" s="39"/>
      <c r="E77" s="58" t="s">
        <v>167</v>
      </c>
      <c r="F77" s="74">
        <v>373</v>
      </c>
      <c r="G77" s="73">
        <v>19415</v>
      </c>
      <c r="H77" s="73">
        <f>19414.9+1443.73</f>
        <v>20858.63</v>
      </c>
      <c r="I77" s="73">
        <f t="shared" ref="I77:I179" si="9">H77/G77*100</f>
        <v>107.43564254442441</v>
      </c>
    </row>
    <row r="78" spans="2:9" ht="30" customHeight="1" x14ac:dyDescent="0.25">
      <c r="B78" s="117" t="s">
        <v>193</v>
      </c>
      <c r="C78" s="118"/>
      <c r="D78" s="71"/>
      <c r="E78" s="71" t="s">
        <v>183</v>
      </c>
      <c r="F78" s="78">
        <f>SUM(F79,F85,F115,F118,F120,F122)</f>
        <v>4249974</v>
      </c>
      <c r="G78" s="78">
        <f>SUM(G79,G85,G115,G118,G120,G122)</f>
        <v>4312500</v>
      </c>
      <c r="H78" s="78">
        <f>SUM(H79,H85,H115,H118,H120,H122)</f>
        <v>5054165.7299999995</v>
      </c>
      <c r="I78" s="76">
        <f t="shared" si="9"/>
        <v>117.19804591304346</v>
      </c>
    </row>
    <row r="79" spans="2:9" ht="30" customHeight="1" x14ac:dyDescent="0.25">
      <c r="B79" s="50">
        <v>31</v>
      </c>
      <c r="C79" s="51"/>
      <c r="D79" s="39"/>
      <c r="E79" s="58" t="s">
        <v>5</v>
      </c>
      <c r="F79" s="74">
        <f>SUM(F80:F84)</f>
        <v>2369101</v>
      </c>
      <c r="G79" s="74">
        <f>SUM(G80:G84)</f>
        <v>3075600</v>
      </c>
      <c r="H79" s="74">
        <f t="shared" ref="H79" si="10">SUM(H80:H84)</f>
        <v>3706291.24</v>
      </c>
      <c r="I79" s="73">
        <f t="shared" si="9"/>
        <v>120.50628300169073</v>
      </c>
    </row>
    <row r="80" spans="2:9" ht="30" customHeight="1" x14ac:dyDescent="0.25">
      <c r="B80" s="50">
        <v>3111</v>
      </c>
      <c r="C80" s="51"/>
      <c r="D80" s="39"/>
      <c r="E80" s="58" t="s">
        <v>38</v>
      </c>
      <c r="F80" s="74">
        <v>1844847</v>
      </c>
      <c r="G80" s="73">
        <v>2200600</v>
      </c>
      <c r="H80" s="73">
        <f>1125157.85+1587902.51</f>
        <v>2713060.3600000003</v>
      </c>
      <c r="I80" s="73">
        <f t="shared" si="9"/>
        <v>123.28730164500593</v>
      </c>
    </row>
    <row r="81" spans="2:9" ht="30" customHeight="1" x14ac:dyDescent="0.25">
      <c r="B81" s="50">
        <v>3113</v>
      </c>
      <c r="C81" s="51"/>
      <c r="D81" s="39"/>
      <c r="E81" s="58" t="s">
        <v>109</v>
      </c>
      <c r="F81" s="74">
        <v>33180</v>
      </c>
      <c r="G81" s="73">
        <v>55000</v>
      </c>
      <c r="H81" s="73">
        <f>22998.11+39394.35</f>
        <v>62392.46</v>
      </c>
      <c r="I81" s="73">
        <f t="shared" si="9"/>
        <v>113.44083636363635</v>
      </c>
    </row>
    <row r="82" spans="2:9" ht="30" customHeight="1" x14ac:dyDescent="0.25">
      <c r="B82" s="50">
        <v>3121</v>
      </c>
      <c r="C82" s="51"/>
      <c r="D82" s="39"/>
      <c r="E82" s="58" t="s">
        <v>110</v>
      </c>
      <c r="F82" s="74">
        <v>212356</v>
      </c>
      <c r="G82" s="73">
        <v>320000</v>
      </c>
      <c r="H82" s="73">
        <f>117374.12+245311.12</f>
        <v>362685.24</v>
      </c>
      <c r="I82" s="73">
        <f t="shared" si="9"/>
        <v>113.33913749999999</v>
      </c>
    </row>
    <row r="83" spans="2:9" ht="30" customHeight="1" x14ac:dyDescent="0.25">
      <c r="B83" s="50">
        <v>3131</v>
      </c>
      <c r="C83" s="51"/>
      <c r="D83" s="39"/>
      <c r="E83" s="58" t="s">
        <v>112</v>
      </c>
      <c r="F83" s="74"/>
      <c r="G83" s="73">
        <v>45000</v>
      </c>
      <c r="H83" s="73">
        <f>20233.05+37227.89</f>
        <v>57460.94</v>
      </c>
      <c r="I83" s="73">
        <f t="shared" si="9"/>
        <v>127.69097777777777</v>
      </c>
    </row>
    <row r="84" spans="2:9" ht="30" customHeight="1" x14ac:dyDescent="0.25">
      <c r="B84" s="50">
        <v>3132</v>
      </c>
      <c r="C84" s="51"/>
      <c r="D84" s="39"/>
      <c r="E84" s="58" t="s">
        <v>113</v>
      </c>
      <c r="F84" s="74">
        <v>278718</v>
      </c>
      <c r="G84" s="73">
        <v>455000</v>
      </c>
      <c r="H84" s="73">
        <f>176693.05+333999.19</f>
        <v>510692.24</v>
      </c>
      <c r="I84" s="73">
        <f t="shared" si="9"/>
        <v>112.24005274725275</v>
      </c>
    </row>
    <row r="85" spans="2:9" ht="30" customHeight="1" x14ac:dyDescent="0.25">
      <c r="B85" s="50">
        <v>32</v>
      </c>
      <c r="C85" s="51"/>
      <c r="D85" s="39"/>
      <c r="E85" s="58" t="s">
        <v>12</v>
      </c>
      <c r="F85" s="74">
        <f>SUM(F86:F107,F108:F114)</f>
        <v>1525239</v>
      </c>
      <c r="G85" s="74">
        <f>SUM(G86:G87,G90:G107,G108:G114)</f>
        <v>1034350</v>
      </c>
      <c r="H85" s="74">
        <f>SUM(H86:H87,H90:H107,H108:H114)</f>
        <v>1143939.6099999996</v>
      </c>
      <c r="I85" s="73">
        <f t="shared" si="9"/>
        <v>110.59502199448926</v>
      </c>
    </row>
    <row r="86" spans="2:9" ht="30" customHeight="1" x14ac:dyDescent="0.25">
      <c r="B86" s="50">
        <v>3211</v>
      </c>
      <c r="C86" s="51"/>
      <c r="D86" s="39"/>
      <c r="E86" s="58" t="s">
        <v>40</v>
      </c>
      <c r="F86" s="74">
        <v>18448</v>
      </c>
      <c r="G86" s="73">
        <v>17600</v>
      </c>
      <c r="H86" s="73">
        <f>10593.77+21483.5</f>
        <v>32077.27</v>
      </c>
      <c r="I86" s="73">
        <f t="shared" si="9"/>
        <v>182.25721590909092</v>
      </c>
    </row>
    <row r="87" spans="2:9" ht="30" customHeight="1" x14ac:dyDescent="0.25">
      <c r="B87" s="50">
        <v>3212</v>
      </c>
      <c r="C87" s="51"/>
      <c r="D87" s="39"/>
      <c r="E87" s="58" t="s">
        <v>114</v>
      </c>
      <c r="F87" s="74">
        <v>72998</v>
      </c>
      <c r="G87" s="73">
        <v>90000</v>
      </c>
      <c r="H87" s="73">
        <f>33489.78+66474.26</f>
        <v>99964.04</v>
      </c>
      <c r="I87" s="73">
        <f t="shared" si="9"/>
        <v>111.07115555555555</v>
      </c>
    </row>
    <row r="88" spans="2:9" ht="25.5" x14ac:dyDescent="0.25">
      <c r="B88" s="110" t="s">
        <v>7</v>
      </c>
      <c r="C88" s="111"/>
      <c r="D88" s="111"/>
      <c r="E88" s="112"/>
      <c r="F88" s="33" t="s">
        <v>60</v>
      </c>
      <c r="G88" s="33" t="s">
        <v>215</v>
      </c>
      <c r="H88" s="33" t="s">
        <v>221</v>
      </c>
      <c r="I88" s="33" t="s">
        <v>58</v>
      </c>
    </row>
    <row r="89" spans="2:9" s="38" customFormat="1" ht="11.25" x14ac:dyDescent="0.2">
      <c r="B89" s="113">
        <v>1</v>
      </c>
      <c r="C89" s="114"/>
      <c r="D89" s="114"/>
      <c r="E89" s="115"/>
      <c r="F89" s="35">
        <v>2</v>
      </c>
      <c r="G89" s="35">
        <v>2</v>
      </c>
      <c r="H89" s="35">
        <v>3</v>
      </c>
      <c r="I89" s="35" t="s">
        <v>211</v>
      </c>
    </row>
    <row r="90" spans="2:9" ht="30" customHeight="1" x14ac:dyDescent="0.25">
      <c r="B90" s="50">
        <v>3213</v>
      </c>
      <c r="C90" s="51"/>
      <c r="D90" s="39"/>
      <c r="E90" s="58" t="s">
        <v>115</v>
      </c>
      <c r="F90" s="74">
        <v>9291</v>
      </c>
      <c r="G90" s="73">
        <v>11800</v>
      </c>
      <c r="H90" s="73">
        <f>3779.69+14139.22</f>
        <v>17918.91</v>
      </c>
      <c r="I90" s="73">
        <f t="shared" si="9"/>
        <v>151.85516949152543</v>
      </c>
    </row>
    <row r="91" spans="2:9" ht="30" customHeight="1" x14ac:dyDescent="0.25">
      <c r="B91" s="50">
        <v>3214</v>
      </c>
      <c r="C91" s="51"/>
      <c r="D91" s="39"/>
      <c r="E91" s="58" t="s">
        <v>116</v>
      </c>
      <c r="F91" s="74">
        <v>164</v>
      </c>
      <c r="G91" s="73">
        <v>50</v>
      </c>
      <c r="H91" s="73">
        <v>0</v>
      </c>
      <c r="I91" s="73">
        <f t="shared" si="9"/>
        <v>0</v>
      </c>
    </row>
    <row r="92" spans="2:9" ht="30" customHeight="1" x14ac:dyDescent="0.25">
      <c r="B92" s="50">
        <v>3221</v>
      </c>
      <c r="C92" s="51"/>
      <c r="D92" s="39"/>
      <c r="E92" s="58" t="s">
        <v>118</v>
      </c>
      <c r="F92" s="74">
        <v>100471</v>
      </c>
      <c r="G92" s="73">
        <v>51130</v>
      </c>
      <c r="H92" s="73">
        <f>9694.96+21610.71</f>
        <v>31305.67</v>
      </c>
      <c r="I92" s="73">
        <f t="shared" si="9"/>
        <v>61.227596323097977</v>
      </c>
    </row>
    <row r="93" spans="2:9" ht="30" customHeight="1" x14ac:dyDescent="0.25">
      <c r="B93" s="50">
        <v>3222</v>
      </c>
      <c r="C93" s="51"/>
      <c r="D93" s="39"/>
      <c r="E93" s="58" t="s">
        <v>119</v>
      </c>
      <c r="F93" s="74">
        <v>149711</v>
      </c>
      <c r="G93" s="73">
        <v>48456</v>
      </c>
      <c r="H93" s="73">
        <f>16342.98+55354.62</f>
        <v>71697.600000000006</v>
      </c>
      <c r="I93" s="73">
        <f t="shared" si="9"/>
        <v>147.96433878157504</v>
      </c>
    </row>
    <row r="94" spans="2:9" ht="30" customHeight="1" x14ac:dyDescent="0.25">
      <c r="B94" s="50">
        <v>3223</v>
      </c>
      <c r="C94" s="51"/>
      <c r="D94" s="39"/>
      <c r="E94" s="58" t="s">
        <v>120</v>
      </c>
      <c r="F94" s="74">
        <v>143341</v>
      </c>
      <c r="G94" s="73">
        <v>100000</v>
      </c>
      <c r="H94" s="73">
        <f>33358.95+59727.92</f>
        <v>93086.87</v>
      </c>
      <c r="I94" s="73">
        <f t="shared" si="9"/>
        <v>93.086870000000005</v>
      </c>
    </row>
    <row r="95" spans="2:9" ht="30" customHeight="1" x14ac:dyDescent="0.25">
      <c r="B95" s="50">
        <v>3224</v>
      </c>
      <c r="C95" s="51"/>
      <c r="D95" s="39"/>
      <c r="E95" s="58" t="s">
        <v>121</v>
      </c>
      <c r="F95" s="74">
        <v>145995</v>
      </c>
      <c r="G95" s="73">
        <v>108000</v>
      </c>
      <c r="H95" s="73">
        <f>34233.95+90706.45</f>
        <v>124940.4</v>
      </c>
      <c r="I95" s="73">
        <f t="shared" si="9"/>
        <v>115.68555555555555</v>
      </c>
    </row>
    <row r="96" spans="2:9" ht="30" customHeight="1" x14ac:dyDescent="0.25">
      <c r="B96" s="50">
        <v>3225</v>
      </c>
      <c r="C96" s="51"/>
      <c r="D96" s="39"/>
      <c r="E96" s="58" t="s">
        <v>122</v>
      </c>
      <c r="F96" s="74">
        <v>23405</v>
      </c>
      <c r="G96" s="73">
        <v>15100</v>
      </c>
      <c r="H96" s="73">
        <f>677.59+3246.75</f>
        <v>3924.34</v>
      </c>
      <c r="I96" s="73">
        <f t="shared" si="9"/>
        <v>25.989006622516559</v>
      </c>
    </row>
    <row r="97" spans="2:9" ht="30" customHeight="1" x14ac:dyDescent="0.25">
      <c r="B97" s="50">
        <v>3227</v>
      </c>
      <c r="C97" s="51"/>
      <c r="D97" s="39"/>
      <c r="E97" s="58" t="s">
        <v>123</v>
      </c>
      <c r="F97" s="74">
        <v>49317</v>
      </c>
      <c r="G97" s="73">
        <v>29087</v>
      </c>
      <c r="H97" s="73">
        <f>6721.05+34917.02</f>
        <v>41638.07</v>
      </c>
      <c r="I97" s="73">
        <f t="shared" si="9"/>
        <v>143.1501014198783</v>
      </c>
    </row>
    <row r="98" spans="2:9" ht="30" customHeight="1" x14ac:dyDescent="0.25">
      <c r="B98" s="50">
        <v>3231</v>
      </c>
      <c r="C98" s="51"/>
      <c r="D98" s="39"/>
      <c r="E98" s="58" t="s">
        <v>125</v>
      </c>
      <c r="F98" s="74">
        <v>17758</v>
      </c>
      <c r="G98" s="73">
        <v>10245</v>
      </c>
      <c r="H98" s="73">
        <f>2724.42+8165.52</f>
        <v>10889.94</v>
      </c>
      <c r="I98" s="73">
        <f t="shared" si="9"/>
        <v>106.29516837481698</v>
      </c>
    </row>
    <row r="99" spans="2:9" ht="30" customHeight="1" x14ac:dyDescent="0.25">
      <c r="B99" s="50">
        <v>3232</v>
      </c>
      <c r="C99" s="51"/>
      <c r="D99" s="39"/>
      <c r="E99" s="58" t="s">
        <v>126</v>
      </c>
      <c r="F99" s="74">
        <v>197397</v>
      </c>
      <c r="G99" s="73">
        <v>32782</v>
      </c>
      <c r="H99" s="73">
        <f>12487.3+32524.47</f>
        <v>45011.770000000004</v>
      </c>
      <c r="I99" s="73">
        <f t="shared" si="9"/>
        <v>137.30635714721495</v>
      </c>
    </row>
    <row r="100" spans="2:9" ht="30" customHeight="1" x14ac:dyDescent="0.25">
      <c r="B100" s="50">
        <v>3233</v>
      </c>
      <c r="C100" s="51"/>
      <c r="D100" s="39"/>
      <c r="E100" s="58" t="s">
        <v>127</v>
      </c>
      <c r="F100" s="74">
        <v>42964</v>
      </c>
      <c r="G100" s="73">
        <v>30670</v>
      </c>
      <c r="H100" s="73">
        <f>2599.2-1889.76</f>
        <v>709.43999999999983</v>
      </c>
      <c r="I100" s="73">
        <f t="shared" si="9"/>
        <v>2.3131398761004234</v>
      </c>
    </row>
    <row r="101" spans="2:9" ht="30" customHeight="1" x14ac:dyDescent="0.25">
      <c r="B101" s="50">
        <v>3234</v>
      </c>
      <c r="C101" s="51"/>
      <c r="D101" s="39"/>
      <c r="E101" s="58" t="s">
        <v>128</v>
      </c>
      <c r="F101" s="74">
        <v>72997</v>
      </c>
      <c r="G101" s="73">
        <v>65000</v>
      </c>
      <c r="H101" s="73">
        <f>27672.92+78428.63</f>
        <v>106101.55</v>
      </c>
      <c r="I101" s="73">
        <f t="shared" si="9"/>
        <v>163.23315384615384</v>
      </c>
    </row>
    <row r="102" spans="2:9" ht="30" customHeight="1" x14ac:dyDescent="0.25">
      <c r="B102" s="50">
        <v>3235</v>
      </c>
      <c r="C102" s="51"/>
      <c r="D102" s="39"/>
      <c r="E102" s="58" t="s">
        <v>129</v>
      </c>
      <c r="F102" s="74">
        <v>19636</v>
      </c>
      <c r="G102" s="73">
        <v>5040</v>
      </c>
      <c r="H102" s="73">
        <v>39.56</v>
      </c>
      <c r="I102" s="73">
        <f t="shared" si="9"/>
        <v>0.78492063492063491</v>
      </c>
    </row>
    <row r="103" spans="2:9" ht="30" customHeight="1" x14ac:dyDescent="0.25">
      <c r="B103" s="50">
        <v>3236</v>
      </c>
      <c r="C103" s="51"/>
      <c r="D103" s="39"/>
      <c r="E103" s="58" t="s">
        <v>130</v>
      </c>
      <c r="F103" s="74">
        <v>19643</v>
      </c>
      <c r="G103" s="73">
        <v>15000</v>
      </c>
      <c r="H103" s="73">
        <f>9428.03+15714.92</f>
        <v>25142.95</v>
      </c>
      <c r="I103" s="73">
        <f t="shared" si="9"/>
        <v>167.61966666666669</v>
      </c>
    </row>
    <row r="104" spans="2:9" ht="30" customHeight="1" x14ac:dyDescent="0.25">
      <c r="B104" s="50">
        <v>3237</v>
      </c>
      <c r="C104" s="51"/>
      <c r="D104" s="39"/>
      <c r="E104" s="58" t="s">
        <v>131</v>
      </c>
      <c r="F104" s="74">
        <v>166977</v>
      </c>
      <c r="G104" s="73">
        <v>134742</v>
      </c>
      <c r="H104" s="73">
        <f>38203.99+85151.38</f>
        <v>123355.37</v>
      </c>
      <c r="I104" s="73">
        <f t="shared" si="9"/>
        <v>91.549309049887924</v>
      </c>
    </row>
    <row r="105" spans="2:9" ht="30" customHeight="1" x14ac:dyDescent="0.25">
      <c r="B105" s="50">
        <v>3238</v>
      </c>
      <c r="C105" s="51"/>
      <c r="D105" s="39"/>
      <c r="E105" s="58" t="s">
        <v>132</v>
      </c>
      <c r="F105" s="74">
        <v>93724</v>
      </c>
      <c r="G105" s="73">
        <v>68198</v>
      </c>
      <c r="H105" s="73">
        <f>24939.08+51068.82</f>
        <v>76007.899999999994</v>
      </c>
      <c r="I105" s="73">
        <f t="shared" si="9"/>
        <v>111.45180210563359</v>
      </c>
    </row>
    <row r="106" spans="2:9" ht="30" customHeight="1" x14ac:dyDescent="0.25">
      <c r="B106" s="50">
        <v>3239</v>
      </c>
      <c r="C106" s="51"/>
      <c r="D106" s="39"/>
      <c r="E106" s="58" t="s">
        <v>133</v>
      </c>
      <c r="F106" s="74">
        <v>55577</v>
      </c>
      <c r="G106" s="73">
        <v>70000</v>
      </c>
      <c r="H106" s="73">
        <f>21770.46+32283.62</f>
        <v>54054.080000000002</v>
      </c>
      <c r="I106" s="73">
        <f t="shared" si="9"/>
        <v>77.220114285714288</v>
      </c>
    </row>
    <row r="107" spans="2:9" ht="30" customHeight="1" x14ac:dyDescent="0.25">
      <c r="B107" s="50">
        <v>3241</v>
      </c>
      <c r="C107" s="51"/>
      <c r="D107" s="39"/>
      <c r="E107" s="58" t="s">
        <v>134</v>
      </c>
      <c r="F107" s="74">
        <v>2654</v>
      </c>
      <c r="G107" s="73">
        <v>1850</v>
      </c>
      <c r="H107" s="73">
        <f>88.5+65.21</f>
        <v>153.70999999999998</v>
      </c>
      <c r="I107" s="73">
        <f t="shared" si="9"/>
        <v>8.3086486486486475</v>
      </c>
    </row>
    <row r="108" spans="2:9" ht="30" customHeight="1" x14ac:dyDescent="0.25">
      <c r="B108" s="50">
        <v>3291</v>
      </c>
      <c r="C108" s="51"/>
      <c r="D108" s="39"/>
      <c r="E108" s="59" t="s">
        <v>136</v>
      </c>
      <c r="F108" s="74">
        <v>13272</v>
      </c>
      <c r="G108" s="73">
        <v>20000</v>
      </c>
      <c r="H108" s="73">
        <f>6756.26+11256.95</f>
        <v>18013.21</v>
      </c>
      <c r="I108" s="73">
        <f t="shared" si="9"/>
        <v>90.066050000000004</v>
      </c>
    </row>
    <row r="109" spans="2:9" ht="30" customHeight="1" x14ac:dyDescent="0.25">
      <c r="B109" s="50">
        <v>3292</v>
      </c>
      <c r="C109" s="51"/>
      <c r="D109" s="39"/>
      <c r="E109" s="58" t="s">
        <v>137</v>
      </c>
      <c r="F109" s="74">
        <v>39817</v>
      </c>
      <c r="G109" s="73">
        <v>32500</v>
      </c>
      <c r="H109" s="73">
        <f>13219.55+64255.63</f>
        <v>77475.179999999993</v>
      </c>
      <c r="I109" s="73">
        <f t="shared" si="9"/>
        <v>238.38516923076921</v>
      </c>
    </row>
    <row r="110" spans="2:9" ht="30" customHeight="1" x14ac:dyDescent="0.25">
      <c r="B110" s="50">
        <v>3293</v>
      </c>
      <c r="C110" s="51"/>
      <c r="D110" s="39"/>
      <c r="E110" s="58" t="s">
        <v>138</v>
      </c>
      <c r="F110" s="74">
        <v>14600</v>
      </c>
      <c r="G110" s="73">
        <v>9500</v>
      </c>
      <c r="H110" s="73">
        <f>1255.34+1259.63</f>
        <v>2514.9700000000003</v>
      </c>
      <c r="I110" s="73">
        <f t="shared" si="9"/>
        <v>26.473368421052633</v>
      </c>
    </row>
    <row r="111" spans="2:9" ht="30" customHeight="1" x14ac:dyDescent="0.25">
      <c r="B111" s="50">
        <v>3294</v>
      </c>
      <c r="C111" s="51"/>
      <c r="D111" s="39"/>
      <c r="E111" s="58" t="s">
        <v>139</v>
      </c>
      <c r="F111" s="74">
        <v>664</v>
      </c>
      <c r="G111" s="73">
        <v>1100</v>
      </c>
      <c r="H111" s="73">
        <f>221.54+555.36</f>
        <v>776.9</v>
      </c>
      <c r="I111" s="73">
        <f t="shared" si="9"/>
        <v>70.627272727272725</v>
      </c>
    </row>
    <row r="112" spans="2:9" ht="30" customHeight="1" x14ac:dyDescent="0.25">
      <c r="B112" s="50">
        <v>3295</v>
      </c>
      <c r="C112" s="51"/>
      <c r="D112" s="39"/>
      <c r="E112" s="58" t="s">
        <v>140</v>
      </c>
      <c r="F112" s="74">
        <v>26544</v>
      </c>
      <c r="G112" s="73">
        <v>25000</v>
      </c>
      <c r="H112" s="73">
        <f>5139.41+30446.57</f>
        <v>35585.979999999996</v>
      </c>
      <c r="I112" s="73">
        <f t="shared" si="9"/>
        <v>142.34391999999997</v>
      </c>
    </row>
    <row r="113" spans="2:9" ht="30" customHeight="1" x14ac:dyDescent="0.25">
      <c r="B113" s="50">
        <v>3296</v>
      </c>
      <c r="C113" s="51"/>
      <c r="D113" s="39"/>
      <c r="E113" s="58" t="s">
        <v>141</v>
      </c>
      <c r="F113" s="74">
        <v>1327</v>
      </c>
      <c r="G113" s="73">
        <v>1500</v>
      </c>
      <c r="H113" s="73">
        <v>1767.24</v>
      </c>
      <c r="I113" s="73">
        <f t="shared" si="9"/>
        <v>117.816</v>
      </c>
    </row>
    <row r="114" spans="2:9" ht="30" customHeight="1" x14ac:dyDescent="0.25">
      <c r="B114" s="50">
        <v>3299</v>
      </c>
      <c r="C114" s="51"/>
      <c r="D114" s="39"/>
      <c r="E114" s="58" t="s">
        <v>135</v>
      </c>
      <c r="F114" s="74">
        <v>26545</v>
      </c>
      <c r="G114" s="73">
        <v>40000</v>
      </c>
      <c r="H114" s="73">
        <f>6330.18+43456.51</f>
        <v>49786.69</v>
      </c>
      <c r="I114" s="73">
        <f t="shared" si="9"/>
        <v>124.466725</v>
      </c>
    </row>
    <row r="115" spans="2:9" ht="30" customHeight="1" x14ac:dyDescent="0.25">
      <c r="B115" s="50">
        <v>34</v>
      </c>
      <c r="C115" s="51"/>
      <c r="D115" s="39"/>
      <c r="E115" s="58" t="s">
        <v>142</v>
      </c>
      <c r="F115" s="74">
        <f>SUM(F116:F117)</f>
        <v>14664</v>
      </c>
      <c r="G115" s="74">
        <f>SUM(G116:G117)</f>
        <v>14600</v>
      </c>
      <c r="H115" s="74">
        <f t="shared" ref="H115" si="11">SUM(H116:H117)</f>
        <v>16885.519999999997</v>
      </c>
      <c r="I115" s="73">
        <f t="shared" si="9"/>
        <v>115.65424657534244</v>
      </c>
    </row>
    <row r="116" spans="2:9" ht="30" customHeight="1" x14ac:dyDescent="0.25">
      <c r="B116" s="50">
        <v>3431</v>
      </c>
      <c r="C116" s="51"/>
      <c r="D116" s="39"/>
      <c r="E116" s="58" t="s">
        <v>146</v>
      </c>
      <c r="F116" s="74">
        <v>14600</v>
      </c>
      <c r="G116" s="73">
        <v>14500</v>
      </c>
      <c r="H116" s="73">
        <f>2650.29+14230.31</f>
        <v>16880.599999999999</v>
      </c>
      <c r="I116" s="73">
        <f t="shared" si="9"/>
        <v>116.41793103448275</v>
      </c>
    </row>
    <row r="117" spans="2:9" ht="30" customHeight="1" x14ac:dyDescent="0.25">
      <c r="B117" s="50">
        <v>3433</v>
      </c>
      <c r="C117" s="51"/>
      <c r="D117" s="39"/>
      <c r="E117" s="58" t="s">
        <v>148</v>
      </c>
      <c r="F117" s="74">
        <v>64</v>
      </c>
      <c r="G117" s="73">
        <v>100</v>
      </c>
      <c r="H117" s="73">
        <v>4.92</v>
      </c>
      <c r="I117" s="73">
        <f t="shared" si="9"/>
        <v>4.92</v>
      </c>
    </row>
    <row r="118" spans="2:9" ht="30" customHeight="1" x14ac:dyDescent="0.25">
      <c r="B118" s="50">
        <v>36</v>
      </c>
      <c r="C118" s="51"/>
      <c r="D118" s="39"/>
      <c r="E118" s="58" t="s">
        <v>149</v>
      </c>
      <c r="F118" s="74">
        <f>SUM(F119)</f>
        <v>119451</v>
      </c>
      <c r="G118" s="74">
        <f t="shared" ref="G118:H118" si="12">SUM(G119)</f>
        <v>85000</v>
      </c>
      <c r="H118" s="74">
        <f t="shared" si="12"/>
        <v>81164.460000000006</v>
      </c>
      <c r="I118" s="73">
        <f t="shared" si="9"/>
        <v>95.4876</v>
      </c>
    </row>
    <row r="119" spans="2:9" ht="30" customHeight="1" x14ac:dyDescent="0.25">
      <c r="B119" s="50">
        <v>3691</v>
      </c>
      <c r="C119" s="51"/>
      <c r="D119" s="39"/>
      <c r="E119" s="58" t="s">
        <v>80</v>
      </c>
      <c r="F119" s="74">
        <v>119451</v>
      </c>
      <c r="G119" s="73">
        <v>85000</v>
      </c>
      <c r="H119" s="73">
        <v>81164.460000000006</v>
      </c>
      <c r="I119" s="73">
        <f t="shared" si="9"/>
        <v>95.4876</v>
      </c>
    </row>
    <row r="120" spans="2:9" ht="30" customHeight="1" x14ac:dyDescent="0.25">
      <c r="B120" s="50">
        <v>38</v>
      </c>
      <c r="C120" s="51"/>
      <c r="D120" s="39"/>
      <c r="E120" s="58" t="s">
        <v>194</v>
      </c>
      <c r="F120" s="74">
        <f>SUM(F121)</f>
        <v>0</v>
      </c>
      <c r="G120" s="74">
        <f t="shared" ref="G120:H120" si="13">SUM(G121)</f>
        <v>0</v>
      </c>
      <c r="H120" s="74">
        <f t="shared" si="13"/>
        <v>0</v>
      </c>
      <c r="I120" s="73"/>
    </row>
    <row r="121" spans="2:9" ht="30" customHeight="1" x14ac:dyDescent="0.25">
      <c r="B121" s="50">
        <v>3835</v>
      </c>
      <c r="C121" s="51"/>
      <c r="D121" s="39"/>
      <c r="E121" s="58" t="s">
        <v>97</v>
      </c>
      <c r="F121" s="74"/>
      <c r="G121" s="73">
        <v>0</v>
      </c>
      <c r="H121" s="73">
        <v>0</v>
      </c>
      <c r="I121" s="73"/>
    </row>
    <row r="122" spans="2:9" ht="30" customHeight="1" x14ac:dyDescent="0.25">
      <c r="B122" s="50">
        <v>42</v>
      </c>
      <c r="C122" s="51"/>
      <c r="D122" s="39"/>
      <c r="E122" s="58" t="s">
        <v>153</v>
      </c>
      <c r="F122" s="74">
        <f>SUM(F123:F134)</f>
        <v>221519</v>
      </c>
      <c r="G122" s="74">
        <f>SUM(G123:G129,G132:G135)</f>
        <v>102950</v>
      </c>
      <c r="H122" s="74">
        <f>SUM(H123:H129,H132:H135)</f>
        <v>105884.9</v>
      </c>
      <c r="I122" s="73">
        <f t="shared" si="9"/>
        <v>102.85080135988342</v>
      </c>
    </row>
    <row r="123" spans="2:9" ht="30" customHeight="1" x14ac:dyDescent="0.25">
      <c r="B123" s="50">
        <v>4212</v>
      </c>
      <c r="C123" s="51"/>
      <c r="D123" s="39"/>
      <c r="E123" s="58" t="s">
        <v>155</v>
      </c>
      <c r="F123" s="74">
        <v>24554</v>
      </c>
      <c r="G123" s="73">
        <v>0</v>
      </c>
      <c r="H123" s="73">
        <v>0</v>
      </c>
      <c r="I123" s="73" t="e">
        <f t="shared" si="9"/>
        <v>#DIV/0!</v>
      </c>
    </row>
    <row r="124" spans="2:9" ht="30" customHeight="1" x14ac:dyDescent="0.25">
      <c r="B124" s="50">
        <v>4214</v>
      </c>
      <c r="C124" s="51"/>
      <c r="D124" s="39"/>
      <c r="E124" s="58" t="s">
        <v>153</v>
      </c>
      <c r="F124" s="74">
        <v>9146</v>
      </c>
      <c r="G124" s="73">
        <v>2650</v>
      </c>
      <c r="H124" s="73">
        <v>0</v>
      </c>
      <c r="I124" s="73">
        <f t="shared" si="9"/>
        <v>0</v>
      </c>
    </row>
    <row r="125" spans="2:9" ht="30" customHeight="1" x14ac:dyDescent="0.25">
      <c r="B125" s="50">
        <v>4221</v>
      </c>
      <c r="C125" s="51"/>
      <c r="D125" s="39"/>
      <c r="E125" s="58" t="s">
        <v>158</v>
      </c>
      <c r="F125" s="74">
        <v>18315</v>
      </c>
      <c r="G125" s="73">
        <v>5000</v>
      </c>
      <c r="H125" s="73">
        <f>224.7+5609.19</f>
        <v>5833.8899999999994</v>
      </c>
      <c r="I125" s="73">
        <f t="shared" si="9"/>
        <v>116.67779999999999</v>
      </c>
    </row>
    <row r="126" spans="2:9" ht="30" customHeight="1" x14ac:dyDescent="0.25">
      <c r="B126" s="50">
        <v>4222</v>
      </c>
      <c r="C126" s="51"/>
      <c r="D126" s="39"/>
      <c r="E126" s="58" t="s">
        <v>159</v>
      </c>
      <c r="F126" s="74">
        <v>6769</v>
      </c>
      <c r="G126" s="73">
        <v>15000</v>
      </c>
      <c r="H126" s="73">
        <f>10033.44+40</f>
        <v>10073.44</v>
      </c>
      <c r="I126" s="73">
        <f t="shared" si="9"/>
        <v>67.156266666666681</v>
      </c>
    </row>
    <row r="127" spans="2:9" ht="30" customHeight="1" x14ac:dyDescent="0.25">
      <c r="B127" s="50">
        <v>4223</v>
      </c>
      <c r="C127" s="51"/>
      <c r="D127" s="39"/>
      <c r="E127" s="58" t="s">
        <v>160</v>
      </c>
      <c r="F127" s="74">
        <v>71524</v>
      </c>
      <c r="G127" s="73">
        <v>20500</v>
      </c>
      <c r="H127" s="73">
        <f>13344.3+18150.79</f>
        <v>31495.09</v>
      </c>
      <c r="I127" s="73">
        <f t="shared" si="9"/>
        <v>153.63458536585367</v>
      </c>
    </row>
    <row r="128" spans="2:9" ht="30" customHeight="1" x14ac:dyDescent="0.25">
      <c r="B128" s="50">
        <v>4224</v>
      </c>
      <c r="C128" s="51"/>
      <c r="D128" s="39"/>
      <c r="E128" s="58" t="s">
        <v>161</v>
      </c>
      <c r="F128" s="74">
        <v>4154</v>
      </c>
      <c r="G128" s="73">
        <v>1000</v>
      </c>
      <c r="H128" s="73">
        <v>0</v>
      </c>
      <c r="I128" s="73">
        <f t="shared" si="9"/>
        <v>0</v>
      </c>
    </row>
    <row r="129" spans="2:9" ht="30" customHeight="1" x14ac:dyDescent="0.25">
      <c r="B129" s="50">
        <v>4225</v>
      </c>
      <c r="C129" s="51"/>
      <c r="D129" s="39"/>
      <c r="E129" s="58" t="s">
        <v>162</v>
      </c>
      <c r="F129" s="74">
        <v>23276</v>
      </c>
      <c r="G129" s="73">
        <v>6770</v>
      </c>
      <c r="H129" s="73">
        <f>2106.3+7105.61</f>
        <v>9211.91</v>
      </c>
      <c r="I129" s="73">
        <f t="shared" si="9"/>
        <v>136.06957163958643</v>
      </c>
    </row>
    <row r="130" spans="2:9" ht="25.5" x14ac:dyDescent="0.25">
      <c r="B130" s="110" t="s">
        <v>7</v>
      </c>
      <c r="C130" s="111"/>
      <c r="D130" s="111"/>
      <c r="E130" s="112"/>
      <c r="F130" s="33" t="s">
        <v>60</v>
      </c>
      <c r="G130" s="33" t="s">
        <v>222</v>
      </c>
      <c r="H130" s="33" t="s">
        <v>221</v>
      </c>
      <c r="I130" s="33" t="s">
        <v>58</v>
      </c>
    </row>
    <row r="131" spans="2:9" s="38" customFormat="1" ht="11.25" x14ac:dyDescent="0.2">
      <c r="B131" s="113">
        <v>1</v>
      </c>
      <c r="C131" s="114"/>
      <c r="D131" s="114"/>
      <c r="E131" s="115"/>
      <c r="F131" s="35">
        <v>2</v>
      </c>
      <c r="G131" s="35">
        <v>2</v>
      </c>
      <c r="H131" s="35">
        <v>3</v>
      </c>
      <c r="I131" s="35" t="s">
        <v>211</v>
      </c>
    </row>
    <row r="132" spans="2:9" ht="30" customHeight="1" x14ac:dyDescent="0.25">
      <c r="B132" s="50">
        <v>4226</v>
      </c>
      <c r="C132" s="51"/>
      <c r="D132" s="39"/>
      <c r="E132" s="58" t="s">
        <v>163</v>
      </c>
      <c r="F132" s="74">
        <v>3318</v>
      </c>
      <c r="G132" s="73">
        <v>0</v>
      </c>
      <c r="H132" s="73">
        <v>0</v>
      </c>
      <c r="I132" s="73" t="e">
        <f t="shared" si="9"/>
        <v>#DIV/0!</v>
      </c>
    </row>
    <row r="133" spans="2:9" ht="30" customHeight="1" x14ac:dyDescent="0.25">
      <c r="B133" s="50">
        <v>4227</v>
      </c>
      <c r="C133" s="51"/>
      <c r="D133" s="39"/>
      <c r="E133" s="58" t="s">
        <v>108</v>
      </c>
      <c r="F133" s="74">
        <v>39225</v>
      </c>
      <c r="G133" s="73">
        <v>14430</v>
      </c>
      <c r="H133" s="73">
        <f>9386.6+6694.97</f>
        <v>16081.57</v>
      </c>
      <c r="I133" s="73">
        <f t="shared" si="9"/>
        <v>111.44539154539154</v>
      </c>
    </row>
    <row r="134" spans="2:9" ht="30" customHeight="1" x14ac:dyDescent="0.25">
      <c r="B134" s="50">
        <v>4231</v>
      </c>
      <c r="C134" s="51"/>
      <c r="D134" s="39"/>
      <c r="E134" s="58" t="s">
        <v>100</v>
      </c>
      <c r="F134" s="74">
        <v>21236</v>
      </c>
      <c r="G134" s="73">
        <v>35000</v>
      </c>
      <c r="H134" s="73">
        <f>33189</f>
        <v>33189</v>
      </c>
      <c r="I134" s="73">
        <f t="shared" si="9"/>
        <v>94.825714285714298</v>
      </c>
    </row>
    <row r="135" spans="2:9" ht="30" customHeight="1" x14ac:dyDescent="0.25">
      <c r="B135" s="50">
        <v>4252</v>
      </c>
      <c r="C135" s="51"/>
      <c r="D135" s="39"/>
      <c r="E135" s="58" t="s">
        <v>102</v>
      </c>
      <c r="F135" s="74"/>
      <c r="G135" s="74">
        <v>2600</v>
      </c>
      <c r="H135" s="74"/>
      <c r="I135" s="73"/>
    </row>
    <row r="136" spans="2:9" ht="30" customHeight="1" x14ac:dyDescent="0.25">
      <c r="B136" s="50" t="s">
        <v>212</v>
      </c>
      <c r="C136" s="51"/>
      <c r="D136" s="39"/>
      <c r="E136" s="58" t="s">
        <v>210</v>
      </c>
      <c r="F136" s="74">
        <f>SUM(F137,F139,F147)</f>
        <v>276877</v>
      </c>
      <c r="G136" s="74">
        <f>SUM(G137,G139,G147)</f>
        <v>103480</v>
      </c>
      <c r="H136" s="74">
        <f>SUM(H137,H139,H147)</f>
        <v>800</v>
      </c>
      <c r="I136" s="73">
        <f t="shared" ref="I136:I148" si="14">H136/G136*100</f>
        <v>0.7730962504831852</v>
      </c>
    </row>
    <row r="137" spans="2:9" ht="30" customHeight="1" x14ac:dyDescent="0.25">
      <c r="B137" s="50">
        <v>31</v>
      </c>
      <c r="C137" s="51"/>
      <c r="D137" s="39"/>
      <c r="E137" s="58" t="s">
        <v>5</v>
      </c>
      <c r="F137" s="74">
        <f>SUM(F138)</f>
        <v>3000</v>
      </c>
      <c r="G137" s="74">
        <f>SUM(G138)</f>
        <v>0</v>
      </c>
      <c r="H137" s="74">
        <f>SUM(H138)</f>
        <v>0</v>
      </c>
      <c r="I137" s="73" t="e">
        <f t="shared" si="14"/>
        <v>#DIV/0!</v>
      </c>
    </row>
    <row r="138" spans="2:9" ht="30" customHeight="1" x14ac:dyDescent="0.25">
      <c r="B138" s="50">
        <v>3111</v>
      </c>
      <c r="C138" s="51"/>
      <c r="D138" s="39"/>
      <c r="E138" s="58" t="s">
        <v>38</v>
      </c>
      <c r="F138" s="74">
        <v>3000</v>
      </c>
      <c r="G138" s="73">
        <v>0</v>
      </c>
      <c r="H138" s="73">
        <v>0</v>
      </c>
      <c r="I138" s="73" t="e">
        <f t="shared" si="14"/>
        <v>#DIV/0!</v>
      </c>
    </row>
    <row r="139" spans="2:9" ht="30" customHeight="1" x14ac:dyDescent="0.25">
      <c r="B139" s="50">
        <v>32</v>
      </c>
      <c r="C139" s="51"/>
      <c r="D139" s="39"/>
      <c r="E139" s="58" t="s">
        <v>12</v>
      </c>
      <c r="F139" s="74">
        <f>SUM(F143:F143)</f>
        <v>265913</v>
      </c>
      <c r="G139" s="74">
        <f>SUM(G140:G146)</f>
        <v>83880</v>
      </c>
      <c r="H139" s="74">
        <f>SUM(H140:H146)</f>
        <v>800</v>
      </c>
      <c r="I139" s="73">
        <f t="shared" si="14"/>
        <v>0.95374344301382918</v>
      </c>
    </row>
    <row r="140" spans="2:9" ht="30" customHeight="1" x14ac:dyDescent="0.25">
      <c r="B140" s="50">
        <v>3221</v>
      </c>
      <c r="C140" s="51"/>
      <c r="D140" s="39"/>
      <c r="E140" s="58" t="s">
        <v>118</v>
      </c>
      <c r="F140" s="74"/>
      <c r="G140" s="74"/>
      <c r="H140" s="74">
        <v>800</v>
      </c>
      <c r="I140" s="73"/>
    </row>
    <row r="141" spans="2:9" ht="30" customHeight="1" x14ac:dyDescent="0.25">
      <c r="B141" s="50">
        <v>3232</v>
      </c>
      <c r="C141" s="51"/>
      <c r="D141" s="39"/>
      <c r="E141" s="58" t="s">
        <v>126</v>
      </c>
      <c r="F141" s="74"/>
      <c r="G141" s="74">
        <v>10560</v>
      </c>
      <c r="H141" s="74"/>
      <c r="I141" s="73"/>
    </row>
    <row r="142" spans="2:9" ht="30" customHeight="1" x14ac:dyDescent="0.25">
      <c r="B142" s="50">
        <v>3235</v>
      </c>
      <c r="C142" s="51"/>
      <c r="D142" s="39"/>
      <c r="E142" s="58" t="s">
        <v>129</v>
      </c>
      <c r="F142" s="74"/>
      <c r="G142" s="74">
        <v>160</v>
      </c>
      <c r="H142" s="74"/>
      <c r="I142" s="73"/>
    </row>
    <row r="143" spans="2:9" ht="30" customHeight="1" x14ac:dyDescent="0.25">
      <c r="B143" s="50">
        <v>3237</v>
      </c>
      <c r="C143" s="51"/>
      <c r="D143" s="39"/>
      <c r="E143" s="58" t="s">
        <v>131</v>
      </c>
      <c r="F143" s="74">
        <v>265913</v>
      </c>
      <c r="G143" s="73">
        <v>70280</v>
      </c>
      <c r="H143" s="73">
        <v>0</v>
      </c>
      <c r="I143" s="73">
        <f t="shared" si="14"/>
        <v>0</v>
      </c>
    </row>
    <row r="144" spans="2:9" ht="30" customHeight="1" x14ac:dyDescent="0.25">
      <c r="B144" s="50">
        <v>3238</v>
      </c>
      <c r="C144" s="51"/>
      <c r="D144" s="39"/>
      <c r="E144" s="58" t="s">
        <v>132</v>
      </c>
      <c r="F144" s="74"/>
      <c r="G144" s="74">
        <v>480</v>
      </c>
      <c r="H144" s="74"/>
      <c r="I144" s="73"/>
    </row>
    <row r="145" spans="2:9" ht="30" customHeight="1" x14ac:dyDescent="0.25">
      <c r="B145" s="50">
        <v>3239</v>
      </c>
      <c r="C145" s="51"/>
      <c r="D145" s="39"/>
      <c r="E145" s="58" t="s">
        <v>133</v>
      </c>
      <c r="F145" s="74"/>
      <c r="G145" s="74">
        <v>1600</v>
      </c>
      <c r="H145" s="74">
        <v>0</v>
      </c>
      <c r="I145" s="73">
        <f t="shared" si="14"/>
        <v>0</v>
      </c>
    </row>
    <row r="146" spans="2:9" ht="30" customHeight="1" x14ac:dyDescent="0.25">
      <c r="B146" s="50">
        <v>3241</v>
      </c>
      <c r="C146" s="51"/>
      <c r="D146" s="39"/>
      <c r="E146" s="58" t="s">
        <v>134</v>
      </c>
      <c r="F146" s="74"/>
      <c r="G146" s="74">
        <v>800</v>
      </c>
      <c r="H146" s="74"/>
      <c r="I146" s="73"/>
    </row>
    <row r="147" spans="2:9" ht="30" customHeight="1" x14ac:dyDescent="0.25">
      <c r="B147" s="50">
        <v>42</v>
      </c>
      <c r="C147" s="51"/>
      <c r="D147" s="39"/>
      <c r="E147" s="58" t="s">
        <v>153</v>
      </c>
      <c r="F147" s="74">
        <f>SUM(F148:F148)</f>
        <v>7964</v>
      </c>
      <c r="G147" s="74">
        <f>SUM(G148:G149)</f>
        <v>19600</v>
      </c>
      <c r="H147" s="74">
        <f>SUM(H148:H149)</f>
        <v>0</v>
      </c>
      <c r="I147" s="73">
        <f t="shared" si="14"/>
        <v>0</v>
      </c>
    </row>
    <row r="148" spans="2:9" ht="30" customHeight="1" x14ac:dyDescent="0.25">
      <c r="B148" s="50">
        <v>4221</v>
      </c>
      <c r="C148" s="51"/>
      <c r="D148" s="39"/>
      <c r="E148" s="58" t="s">
        <v>158</v>
      </c>
      <c r="F148" s="74">
        <v>7964</v>
      </c>
      <c r="G148" s="73">
        <v>1200</v>
      </c>
      <c r="H148" s="73">
        <v>0</v>
      </c>
      <c r="I148" s="73">
        <f t="shared" si="14"/>
        <v>0</v>
      </c>
    </row>
    <row r="149" spans="2:9" ht="30" customHeight="1" x14ac:dyDescent="0.25">
      <c r="B149" s="50">
        <v>4225</v>
      </c>
      <c r="C149" s="51"/>
      <c r="D149" s="39"/>
      <c r="E149" s="58" t="s">
        <v>162</v>
      </c>
      <c r="F149" s="74"/>
      <c r="G149" s="74">
        <v>18400</v>
      </c>
      <c r="H149" s="74"/>
      <c r="I149" s="73"/>
    </row>
    <row r="150" spans="2:9" ht="30" customHeight="1" x14ac:dyDescent="0.25">
      <c r="B150" s="50" t="s">
        <v>195</v>
      </c>
      <c r="C150" s="51"/>
      <c r="D150" s="39"/>
      <c r="E150" s="58" t="s">
        <v>184</v>
      </c>
      <c r="F150" s="74">
        <f>SUM(F151,F154,F171)</f>
        <v>343027</v>
      </c>
      <c r="G150" s="74">
        <f>SUM(G151,G154,G171)</f>
        <v>416318</v>
      </c>
      <c r="H150" s="74">
        <f t="shared" ref="H150" si="15">SUM(H151,H154,H171)</f>
        <v>457492.27999999997</v>
      </c>
      <c r="I150" s="73">
        <f t="shared" si="9"/>
        <v>109.89010323838988</v>
      </c>
    </row>
    <row r="151" spans="2:9" ht="30" customHeight="1" x14ac:dyDescent="0.25">
      <c r="B151" s="50">
        <v>31</v>
      </c>
      <c r="C151" s="51"/>
      <c r="D151" s="39"/>
      <c r="E151" s="58" t="s">
        <v>5</v>
      </c>
      <c r="F151" s="74">
        <f>SUM(F152)</f>
        <v>3000</v>
      </c>
      <c r="G151" s="74">
        <f>SUM(G152:G153)</f>
        <v>14400</v>
      </c>
      <c r="H151" s="74">
        <f>SUM(H152:H153)</f>
        <v>19715.100000000002</v>
      </c>
      <c r="I151" s="73">
        <f t="shared" si="9"/>
        <v>136.91041666666669</v>
      </c>
    </row>
    <row r="152" spans="2:9" ht="30" customHeight="1" x14ac:dyDescent="0.25">
      <c r="B152" s="50">
        <v>3111</v>
      </c>
      <c r="C152" s="51"/>
      <c r="D152" s="39"/>
      <c r="E152" s="58" t="s">
        <v>38</v>
      </c>
      <c r="F152" s="74">
        <v>3000</v>
      </c>
      <c r="G152" s="73">
        <v>14400</v>
      </c>
      <c r="H152" s="73">
        <f>1170.31+18171.79</f>
        <v>19342.100000000002</v>
      </c>
      <c r="I152" s="73">
        <f t="shared" si="9"/>
        <v>134.32013888888889</v>
      </c>
    </row>
    <row r="153" spans="2:9" ht="30" customHeight="1" x14ac:dyDescent="0.25">
      <c r="B153" s="50">
        <v>3113</v>
      </c>
      <c r="C153" s="51"/>
      <c r="D153" s="39"/>
      <c r="E153" s="58" t="s">
        <v>109</v>
      </c>
      <c r="F153" s="74"/>
      <c r="G153" s="74"/>
      <c r="H153" s="74">
        <v>373</v>
      </c>
      <c r="I153" s="73"/>
    </row>
    <row r="154" spans="2:9" ht="30" customHeight="1" x14ac:dyDescent="0.25">
      <c r="B154" s="50">
        <v>32</v>
      </c>
      <c r="C154" s="51"/>
      <c r="D154" s="39"/>
      <c r="E154" s="58" t="s">
        <v>12</v>
      </c>
      <c r="F154" s="74">
        <f>SUM(F158:F166)</f>
        <v>298649</v>
      </c>
      <c r="G154" s="74">
        <f>SUM(G155:G170)</f>
        <v>345238</v>
      </c>
      <c r="H154" s="74">
        <f>SUM(H155:H170)</f>
        <v>417414.32</v>
      </c>
      <c r="I154" s="73">
        <f t="shared" si="9"/>
        <v>120.90625018103454</v>
      </c>
    </row>
    <row r="155" spans="2:9" ht="30" customHeight="1" x14ac:dyDescent="0.25">
      <c r="B155" s="50">
        <v>3211</v>
      </c>
      <c r="C155" s="51"/>
      <c r="D155" s="39"/>
      <c r="E155" s="58" t="s">
        <v>40</v>
      </c>
      <c r="F155" s="74"/>
      <c r="G155" s="74">
        <v>2400</v>
      </c>
      <c r="H155" s="74">
        <v>1131.97</v>
      </c>
      <c r="I155" s="73">
        <f t="shared" si="9"/>
        <v>47.165416666666665</v>
      </c>
    </row>
    <row r="156" spans="2:9" ht="30" customHeight="1" x14ac:dyDescent="0.25">
      <c r="B156" s="50">
        <v>3213</v>
      </c>
      <c r="C156" s="51"/>
      <c r="D156" s="39"/>
      <c r="E156" s="58" t="s">
        <v>115</v>
      </c>
      <c r="F156" s="74"/>
      <c r="G156" s="74">
        <v>1200</v>
      </c>
      <c r="H156" s="74">
        <v>280</v>
      </c>
      <c r="I156" s="73"/>
    </row>
    <row r="157" spans="2:9" ht="30" customHeight="1" x14ac:dyDescent="0.25">
      <c r="B157" s="50">
        <v>3221</v>
      </c>
      <c r="C157" s="51"/>
      <c r="D157" s="39"/>
      <c r="E157" s="58" t="s">
        <v>118</v>
      </c>
      <c r="F157" s="74"/>
      <c r="G157" s="74">
        <v>2000</v>
      </c>
      <c r="H157" s="74">
        <v>2842.79</v>
      </c>
      <c r="I157" s="73"/>
    </row>
    <row r="158" spans="2:9" ht="30" customHeight="1" x14ac:dyDescent="0.25">
      <c r="B158" s="50">
        <v>3222</v>
      </c>
      <c r="C158" s="51"/>
      <c r="D158" s="39"/>
      <c r="E158" s="58" t="s">
        <v>119</v>
      </c>
      <c r="F158" s="74">
        <v>2655</v>
      </c>
      <c r="G158" s="73">
        <v>25000</v>
      </c>
      <c r="H158" s="73">
        <f>469.07+24859.23</f>
        <v>25328.3</v>
      </c>
      <c r="I158" s="73">
        <f t="shared" si="9"/>
        <v>101.31319999999999</v>
      </c>
    </row>
    <row r="159" spans="2:9" ht="30" customHeight="1" x14ac:dyDescent="0.25">
      <c r="B159" s="50">
        <v>3223</v>
      </c>
      <c r="C159" s="51"/>
      <c r="D159" s="39"/>
      <c r="E159" s="58" t="s">
        <v>120</v>
      </c>
      <c r="F159" s="74"/>
      <c r="G159" s="73">
        <v>0</v>
      </c>
      <c r="H159" s="73">
        <v>706.12</v>
      </c>
      <c r="I159" s="73"/>
    </row>
    <row r="160" spans="2:9" ht="30" customHeight="1" x14ac:dyDescent="0.25">
      <c r="B160" s="50">
        <v>3224</v>
      </c>
      <c r="C160" s="51"/>
      <c r="D160" s="39"/>
      <c r="E160" s="58" t="s">
        <v>121</v>
      </c>
      <c r="F160" s="74"/>
      <c r="G160" s="73">
        <v>22000</v>
      </c>
      <c r="H160" s="73">
        <v>9886.48</v>
      </c>
      <c r="I160" s="73">
        <f t="shared" si="9"/>
        <v>44.938545454545455</v>
      </c>
    </row>
    <row r="161" spans="2:9" ht="30" customHeight="1" x14ac:dyDescent="0.25">
      <c r="B161" s="50">
        <v>3225</v>
      </c>
      <c r="C161" s="51"/>
      <c r="D161" s="39"/>
      <c r="E161" s="58" t="s">
        <v>224</v>
      </c>
      <c r="F161" s="74"/>
      <c r="G161" s="73">
        <v>0</v>
      </c>
      <c r="H161" s="73">
        <v>352.92</v>
      </c>
      <c r="I161" s="73"/>
    </row>
    <row r="162" spans="2:9" ht="30" customHeight="1" x14ac:dyDescent="0.25">
      <c r="B162" s="50">
        <v>3231</v>
      </c>
      <c r="C162" s="51"/>
      <c r="D162" s="39"/>
      <c r="E162" s="58" t="s">
        <v>125</v>
      </c>
      <c r="F162" s="74"/>
      <c r="G162" s="73">
        <v>555</v>
      </c>
      <c r="H162" s="73">
        <v>100</v>
      </c>
      <c r="I162" s="73"/>
    </row>
    <row r="163" spans="2:9" ht="30" customHeight="1" x14ac:dyDescent="0.25">
      <c r="B163" s="50">
        <v>3232</v>
      </c>
      <c r="C163" s="51"/>
      <c r="D163" s="39"/>
      <c r="E163" s="58" t="s">
        <v>126</v>
      </c>
      <c r="F163" s="74">
        <v>30081</v>
      </c>
      <c r="G163" s="73">
        <v>222485</v>
      </c>
      <c r="H163" s="73">
        <f>215874.38+65173.65</f>
        <v>281048.03000000003</v>
      </c>
      <c r="I163" s="73">
        <f t="shared" si="9"/>
        <v>126.32223745421041</v>
      </c>
    </row>
    <row r="164" spans="2:9" ht="30" customHeight="1" x14ac:dyDescent="0.25">
      <c r="B164" s="50">
        <v>3233</v>
      </c>
      <c r="C164" s="51"/>
      <c r="D164" s="39"/>
      <c r="E164" s="58" t="s">
        <v>127</v>
      </c>
      <c r="F164" s="74"/>
      <c r="G164" s="73">
        <v>2080</v>
      </c>
      <c r="H164" s="73">
        <v>2079.36</v>
      </c>
      <c r="I164" s="73">
        <f t="shared" si="9"/>
        <v>99.969230769230776</v>
      </c>
    </row>
    <row r="165" spans="2:9" ht="30" customHeight="1" x14ac:dyDescent="0.25">
      <c r="B165" s="50">
        <v>3236</v>
      </c>
      <c r="C165" s="51"/>
      <c r="D165" s="39"/>
      <c r="E165" s="58" t="s">
        <v>130</v>
      </c>
      <c r="F165" s="74"/>
      <c r="G165" s="73">
        <v>0</v>
      </c>
      <c r="H165" s="73">
        <v>0</v>
      </c>
      <c r="I165" s="73" t="e">
        <f t="shared" si="9"/>
        <v>#DIV/0!</v>
      </c>
    </row>
    <row r="166" spans="2:9" ht="30" customHeight="1" x14ac:dyDescent="0.25">
      <c r="B166" s="50">
        <v>3237</v>
      </c>
      <c r="C166" s="51"/>
      <c r="D166" s="39"/>
      <c r="E166" s="58" t="s">
        <v>131</v>
      </c>
      <c r="F166" s="74">
        <v>265913</v>
      </c>
      <c r="G166" s="73">
        <v>58438</v>
      </c>
      <c r="H166" s="73">
        <f>3943.74+86181.77</f>
        <v>90125.510000000009</v>
      </c>
      <c r="I166" s="73">
        <f t="shared" si="9"/>
        <v>154.22415209281633</v>
      </c>
    </row>
    <row r="167" spans="2:9" ht="30" customHeight="1" x14ac:dyDescent="0.25">
      <c r="B167" s="50">
        <v>3238</v>
      </c>
      <c r="C167" s="51"/>
      <c r="D167" s="39"/>
      <c r="E167" s="58" t="s">
        <v>132</v>
      </c>
      <c r="F167" s="74"/>
      <c r="G167" s="74">
        <v>800</v>
      </c>
      <c r="H167" s="74">
        <v>768</v>
      </c>
      <c r="I167" s="73">
        <f t="shared" si="9"/>
        <v>96</v>
      </c>
    </row>
    <row r="168" spans="2:9" ht="30" customHeight="1" x14ac:dyDescent="0.25">
      <c r="B168" s="50">
        <v>3239</v>
      </c>
      <c r="C168" s="51"/>
      <c r="D168" s="39"/>
      <c r="E168" s="58" t="s">
        <v>133</v>
      </c>
      <c r="F168" s="74"/>
      <c r="G168" s="74">
        <v>8280</v>
      </c>
      <c r="H168" s="74">
        <v>1657.6</v>
      </c>
      <c r="I168" s="73">
        <f t="shared" si="9"/>
        <v>20.019323671497581</v>
      </c>
    </row>
    <row r="169" spans="2:9" ht="30" customHeight="1" x14ac:dyDescent="0.25">
      <c r="B169" s="50">
        <v>3293</v>
      </c>
      <c r="C169" s="51"/>
      <c r="D169" s="39"/>
      <c r="E169" s="58" t="s">
        <v>138</v>
      </c>
      <c r="F169" s="74"/>
      <c r="G169" s="74"/>
      <c r="H169" s="74">
        <v>883.24</v>
      </c>
      <c r="I169" s="73"/>
    </row>
    <row r="170" spans="2:9" ht="30" customHeight="1" x14ac:dyDescent="0.25">
      <c r="B170" s="50">
        <v>3299</v>
      </c>
      <c r="C170" s="51"/>
      <c r="D170" s="39"/>
      <c r="E170" s="58" t="s">
        <v>135</v>
      </c>
      <c r="F170" s="74"/>
      <c r="G170" s="74"/>
      <c r="H170" s="74">
        <v>224</v>
      </c>
      <c r="I170" s="73"/>
    </row>
    <row r="171" spans="2:9" ht="30" customHeight="1" x14ac:dyDescent="0.25">
      <c r="B171" s="50">
        <v>42</v>
      </c>
      <c r="C171" s="51"/>
      <c r="D171" s="39"/>
      <c r="E171" s="58" t="s">
        <v>153</v>
      </c>
      <c r="F171" s="74">
        <f>SUM(F175:F179)</f>
        <v>41378</v>
      </c>
      <c r="G171" s="74">
        <f>SUM(G174:G180)</f>
        <v>56680</v>
      </c>
      <c r="H171" s="74">
        <f>SUM(H174:H180)</f>
        <v>20362.86</v>
      </c>
      <c r="I171" s="73">
        <f t="shared" si="9"/>
        <v>35.92600564573042</v>
      </c>
    </row>
    <row r="172" spans="2:9" ht="25.5" x14ac:dyDescent="0.25">
      <c r="B172" s="110" t="s">
        <v>7</v>
      </c>
      <c r="C172" s="111"/>
      <c r="D172" s="111"/>
      <c r="E172" s="112"/>
      <c r="F172" s="33" t="s">
        <v>60</v>
      </c>
      <c r="G172" s="33" t="s">
        <v>222</v>
      </c>
      <c r="H172" s="33" t="s">
        <v>221</v>
      </c>
      <c r="I172" s="33" t="s">
        <v>58</v>
      </c>
    </row>
    <row r="173" spans="2:9" s="38" customFormat="1" ht="11.25" x14ac:dyDescent="0.2">
      <c r="B173" s="113">
        <v>1</v>
      </c>
      <c r="C173" s="114"/>
      <c r="D173" s="114"/>
      <c r="E173" s="115"/>
      <c r="F173" s="35">
        <v>2</v>
      </c>
      <c r="G173" s="35">
        <v>2</v>
      </c>
      <c r="H173" s="35">
        <v>3</v>
      </c>
      <c r="I173" s="35" t="s">
        <v>211</v>
      </c>
    </row>
    <row r="174" spans="2:9" ht="30" customHeight="1" x14ac:dyDescent="0.25">
      <c r="B174" s="50">
        <v>4212</v>
      </c>
      <c r="C174" s="51"/>
      <c r="D174" s="39"/>
      <c r="E174" s="58" t="s">
        <v>155</v>
      </c>
      <c r="F174" s="74"/>
      <c r="G174" s="74">
        <v>4000</v>
      </c>
      <c r="H174" s="74">
        <v>4000</v>
      </c>
      <c r="I174" s="73"/>
    </row>
    <row r="175" spans="2:9" ht="30" customHeight="1" x14ac:dyDescent="0.25">
      <c r="B175" s="50">
        <v>4214</v>
      </c>
      <c r="C175" s="51"/>
      <c r="D175" s="39"/>
      <c r="E175" s="58" t="s">
        <v>153</v>
      </c>
      <c r="F175" s="74">
        <v>20142</v>
      </c>
      <c r="G175" s="73">
        <v>0</v>
      </c>
      <c r="H175" s="73">
        <v>0</v>
      </c>
      <c r="I175" s="73" t="e">
        <f t="shared" si="9"/>
        <v>#DIV/0!</v>
      </c>
    </row>
    <row r="176" spans="2:9" ht="30" customHeight="1" x14ac:dyDescent="0.25">
      <c r="B176" s="50">
        <v>4221</v>
      </c>
      <c r="C176" s="51"/>
      <c r="D176" s="39"/>
      <c r="E176" s="58" t="s">
        <v>158</v>
      </c>
      <c r="F176" s="74"/>
      <c r="G176" s="73">
        <v>8600</v>
      </c>
      <c r="H176" s="73">
        <f>1020</f>
        <v>1020</v>
      </c>
      <c r="I176" s="73">
        <f t="shared" si="9"/>
        <v>11.86046511627907</v>
      </c>
    </row>
    <row r="177" spans="2:9" ht="30" customHeight="1" x14ac:dyDescent="0.25">
      <c r="B177" s="50">
        <v>4223</v>
      </c>
      <c r="C177" s="51"/>
      <c r="D177" s="39"/>
      <c r="E177" s="58" t="s">
        <v>160</v>
      </c>
      <c r="F177" s="74">
        <v>7964</v>
      </c>
      <c r="G177" s="73">
        <v>2500</v>
      </c>
      <c r="H177" s="73">
        <v>1970</v>
      </c>
      <c r="I177" s="73">
        <f t="shared" si="9"/>
        <v>78.8</v>
      </c>
    </row>
    <row r="178" spans="2:9" ht="30" customHeight="1" x14ac:dyDescent="0.25">
      <c r="B178" s="50">
        <v>4225</v>
      </c>
      <c r="C178" s="51"/>
      <c r="D178" s="39"/>
      <c r="E178" s="58" t="s">
        <v>162</v>
      </c>
      <c r="F178" s="74"/>
      <c r="G178" s="73">
        <v>19080</v>
      </c>
      <c r="H178" s="73"/>
      <c r="I178" s="73">
        <f t="shared" si="9"/>
        <v>0</v>
      </c>
    </row>
    <row r="179" spans="2:9" ht="30" customHeight="1" x14ac:dyDescent="0.25">
      <c r="B179" s="124">
        <v>4227</v>
      </c>
      <c r="C179" s="124"/>
      <c r="D179" s="124"/>
      <c r="E179" s="58" t="s">
        <v>108</v>
      </c>
      <c r="F179" s="74">
        <v>13272</v>
      </c>
      <c r="G179" s="73">
        <v>13500</v>
      </c>
      <c r="H179" s="73">
        <f>389.26+3983.6</f>
        <v>4372.8599999999997</v>
      </c>
      <c r="I179" s="73">
        <f t="shared" si="9"/>
        <v>32.391555555555549</v>
      </c>
    </row>
    <row r="180" spans="2:9" ht="30" customHeight="1" x14ac:dyDescent="0.25">
      <c r="B180" s="50">
        <v>4242</v>
      </c>
      <c r="C180" s="51"/>
      <c r="D180" s="39"/>
      <c r="E180" s="58" t="s">
        <v>225</v>
      </c>
      <c r="F180" s="74"/>
      <c r="G180" s="74">
        <v>9000</v>
      </c>
      <c r="H180" s="74">
        <v>9000</v>
      </c>
      <c r="I180" s="73"/>
    </row>
    <row r="181" spans="2:9" ht="30" customHeight="1" x14ac:dyDescent="0.25">
      <c r="B181" s="117" t="s">
        <v>196</v>
      </c>
      <c r="C181" s="118"/>
      <c r="D181" s="39"/>
      <c r="E181" s="63" t="s">
        <v>185</v>
      </c>
      <c r="F181" s="74">
        <f>SUM(F182)</f>
        <v>3523</v>
      </c>
      <c r="G181" s="78">
        <f>SUM(G182,G186,G190)</f>
        <v>695</v>
      </c>
      <c r="H181" s="78">
        <f>SUM(H182,H186,H190)</f>
        <v>6751.1399999999994</v>
      </c>
      <c r="I181" s="76">
        <f t="shared" ref="I181:I205" si="16">H181/G181*100</f>
        <v>971.38705035971213</v>
      </c>
    </row>
    <row r="182" spans="2:9" ht="30" customHeight="1" x14ac:dyDescent="0.25">
      <c r="B182" s="50">
        <v>32</v>
      </c>
      <c r="C182" s="51"/>
      <c r="D182" s="39"/>
      <c r="E182" s="58" t="s">
        <v>12</v>
      </c>
      <c r="F182" s="74">
        <f>SUM(F185)</f>
        <v>3523</v>
      </c>
      <c r="G182" s="74">
        <f>SUM(G183:G185)</f>
        <v>695</v>
      </c>
      <c r="H182" s="74">
        <f>SUM(H183:H185)</f>
        <v>694.9</v>
      </c>
      <c r="I182" s="73">
        <f t="shared" si="16"/>
        <v>99.985611510791358</v>
      </c>
    </row>
    <row r="183" spans="2:9" ht="30" customHeight="1" x14ac:dyDescent="0.25">
      <c r="B183" s="50">
        <v>3221</v>
      </c>
      <c r="C183" s="51"/>
      <c r="D183" s="39"/>
      <c r="E183" s="58" t="s">
        <v>118</v>
      </c>
      <c r="F183" s="74"/>
      <c r="G183" s="74">
        <v>0</v>
      </c>
      <c r="H183" s="74">
        <v>0</v>
      </c>
      <c r="I183" s="73" t="e">
        <f t="shared" si="16"/>
        <v>#DIV/0!</v>
      </c>
    </row>
    <row r="184" spans="2:9" ht="30" customHeight="1" x14ac:dyDescent="0.25">
      <c r="B184" s="50">
        <v>3222</v>
      </c>
      <c r="C184" s="51"/>
      <c r="D184" s="39"/>
      <c r="E184" s="58" t="s">
        <v>119</v>
      </c>
      <c r="F184" s="74"/>
      <c r="G184" s="74">
        <v>595</v>
      </c>
      <c r="H184" s="74">
        <v>594.9</v>
      </c>
      <c r="I184" s="73">
        <f t="shared" si="16"/>
        <v>99.983193277310917</v>
      </c>
    </row>
    <row r="185" spans="2:9" ht="30" customHeight="1" x14ac:dyDescent="0.25">
      <c r="B185" s="50">
        <v>3225</v>
      </c>
      <c r="C185" s="51"/>
      <c r="D185" s="39"/>
      <c r="E185" s="58" t="s">
        <v>122</v>
      </c>
      <c r="F185" s="74">
        <v>3523</v>
      </c>
      <c r="G185" s="73">
        <v>100</v>
      </c>
      <c r="H185" s="73">
        <v>100</v>
      </c>
      <c r="I185" s="73">
        <f t="shared" si="16"/>
        <v>100</v>
      </c>
    </row>
    <row r="186" spans="2:9" ht="30" customHeight="1" x14ac:dyDescent="0.25">
      <c r="B186" s="124">
        <v>42</v>
      </c>
      <c r="C186" s="124"/>
      <c r="D186" s="124"/>
      <c r="E186" s="58" t="s">
        <v>153</v>
      </c>
      <c r="F186" s="74">
        <f>SUM(F187:F201)</f>
        <v>278721</v>
      </c>
      <c r="G186" s="74">
        <f>SUM(G187:G189)</f>
        <v>0</v>
      </c>
      <c r="H186" s="74">
        <f>SUM(H187:H189)</f>
        <v>4056.24</v>
      </c>
      <c r="I186" s="73" t="e">
        <f t="shared" ref="I186:I188" si="17">H186/G186*100</f>
        <v>#DIV/0!</v>
      </c>
    </row>
    <row r="187" spans="2:9" ht="30" customHeight="1" x14ac:dyDescent="0.25">
      <c r="B187" s="50">
        <v>4225</v>
      </c>
      <c r="C187" s="51"/>
      <c r="D187" s="39"/>
      <c r="E187" s="58" t="s">
        <v>162</v>
      </c>
      <c r="F187" s="74">
        <v>26545</v>
      </c>
      <c r="G187" s="74">
        <v>0</v>
      </c>
      <c r="H187" s="73">
        <v>0</v>
      </c>
      <c r="I187" s="73"/>
    </row>
    <row r="188" spans="2:9" ht="30" customHeight="1" x14ac:dyDescent="0.25">
      <c r="B188" s="50">
        <v>4227</v>
      </c>
      <c r="C188" s="51"/>
      <c r="D188" s="39"/>
      <c r="E188" s="58" t="s">
        <v>108</v>
      </c>
      <c r="F188" s="74">
        <v>13272</v>
      </c>
      <c r="G188" s="74">
        <v>0</v>
      </c>
      <c r="H188" s="73">
        <v>1256.24</v>
      </c>
      <c r="I188" s="73" t="e">
        <f t="shared" si="17"/>
        <v>#DIV/0!</v>
      </c>
    </row>
    <row r="189" spans="2:9" ht="30" customHeight="1" x14ac:dyDescent="0.25">
      <c r="B189" s="50">
        <v>4242</v>
      </c>
      <c r="C189" s="51"/>
      <c r="D189" s="39"/>
      <c r="E189" s="58" t="s">
        <v>225</v>
      </c>
      <c r="F189" s="74"/>
      <c r="G189" s="74"/>
      <c r="H189" s="74">
        <v>2800</v>
      </c>
      <c r="I189" s="73"/>
    </row>
    <row r="190" spans="2:9" ht="30" customHeight="1" x14ac:dyDescent="0.25">
      <c r="B190" s="50">
        <v>45</v>
      </c>
      <c r="C190" s="51"/>
      <c r="D190" s="39"/>
      <c r="E190" s="58" t="s">
        <v>165</v>
      </c>
      <c r="F190" s="74"/>
      <c r="G190" s="74">
        <f>SUM(G191)</f>
        <v>0</v>
      </c>
      <c r="H190" s="74">
        <f>SUM(H191)</f>
        <v>2000</v>
      </c>
      <c r="I190" s="73"/>
    </row>
    <row r="191" spans="2:9" ht="30" customHeight="1" x14ac:dyDescent="0.25">
      <c r="B191" s="50">
        <v>4521</v>
      </c>
      <c r="C191" s="51"/>
      <c r="D191" s="39"/>
      <c r="E191" s="58" t="s">
        <v>167</v>
      </c>
      <c r="F191" s="74"/>
      <c r="G191" s="74"/>
      <c r="H191" s="74">
        <v>2000</v>
      </c>
      <c r="I191" s="73"/>
    </row>
    <row r="192" spans="2:9" ht="30" customHeight="1" x14ac:dyDescent="0.25">
      <c r="B192" s="117" t="s">
        <v>198</v>
      </c>
      <c r="C192" s="118"/>
      <c r="D192" s="71"/>
      <c r="E192" s="63" t="s">
        <v>197</v>
      </c>
      <c r="F192" s="78">
        <f>SUM(F195)</f>
        <v>92906</v>
      </c>
      <c r="G192" s="78">
        <f>SUM(G193,G195)</f>
        <v>80000</v>
      </c>
      <c r="H192" s="78">
        <f>SUM(H193,H195)</f>
        <v>12672</v>
      </c>
      <c r="I192" s="76">
        <f t="shared" si="16"/>
        <v>15.840000000000002</v>
      </c>
    </row>
    <row r="193" spans="2:9" ht="30" customHeight="1" x14ac:dyDescent="0.25">
      <c r="B193" s="50">
        <v>32</v>
      </c>
      <c r="C193" s="51"/>
      <c r="D193" s="39"/>
      <c r="E193" s="58" t="s">
        <v>12</v>
      </c>
      <c r="F193" s="78"/>
      <c r="G193" s="74">
        <f>SUM(G194)</f>
        <v>17900</v>
      </c>
      <c r="H193" s="74">
        <f>SUM(H194)</f>
        <v>0</v>
      </c>
      <c r="I193" s="76">
        <f t="shared" si="16"/>
        <v>0</v>
      </c>
    </row>
    <row r="194" spans="2:9" ht="30" customHeight="1" x14ac:dyDescent="0.25">
      <c r="B194" s="50">
        <v>3232</v>
      </c>
      <c r="C194" s="51"/>
      <c r="D194" s="39"/>
      <c r="E194" s="58" t="s">
        <v>126</v>
      </c>
      <c r="F194" s="78"/>
      <c r="G194" s="74">
        <v>17900</v>
      </c>
      <c r="H194" s="74"/>
      <c r="I194" s="76">
        <f t="shared" si="16"/>
        <v>0</v>
      </c>
    </row>
    <row r="195" spans="2:9" ht="30" customHeight="1" x14ac:dyDescent="0.25">
      <c r="B195" s="124">
        <v>42</v>
      </c>
      <c r="C195" s="124"/>
      <c r="D195" s="124"/>
      <c r="E195" s="58" t="s">
        <v>153</v>
      </c>
      <c r="F195" s="74">
        <f>SUM(F201:F206)</f>
        <v>92906</v>
      </c>
      <c r="G195" s="74">
        <f>SUM(G196,G199:G206)</f>
        <v>62100</v>
      </c>
      <c r="H195" s="74">
        <f>SUM(H196,H199:H206)</f>
        <v>12672</v>
      </c>
      <c r="I195" s="73">
        <f t="shared" si="16"/>
        <v>20.405797101449274</v>
      </c>
    </row>
    <row r="196" spans="2:9" ht="30" customHeight="1" x14ac:dyDescent="0.25">
      <c r="B196" s="50">
        <v>4214</v>
      </c>
      <c r="C196" s="51"/>
      <c r="D196" s="39"/>
      <c r="E196" s="58" t="s">
        <v>156</v>
      </c>
      <c r="F196" s="74"/>
      <c r="G196" s="74"/>
      <c r="H196" s="74">
        <v>0</v>
      </c>
      <c r="I196" s="73"/>
    </row>
    <row r="197" spans="2:9" ht="25.5" x14ac:dyDescent="0.25">
      <c r="B197" s="110" t="s">
        <v>7</v>
      </c>
      <c r="C197" s="111"/>
      <c r="D197" s="111"/>
      <c r="E197" s="112"/>
      <c r="F197" s="33" t="s">
        <v>60</v>
      </c>
      <c r="G197" s="33" t="s">
        <v>222</v>
      </c>
      <c r="H197" s="33" t="s">
        <v>221</v>
      </c>
      <c r="I197" s="33" t="s">
        <v>58</v>
      </c>
    </row>
    <row r="198" spans="2:9" s="38" customFormat="1" ht="11.25" x14ac:dyDescent="0.2">
      <c r="B198" s="113">
        <v>1</v>
      </c>
      <c r="C198" s="114"/>
      <c r="D198" s="114"/>
      <c r="E198" s="115"/>
      <c r="F198" s="35">
        <v>2</v>
      </c>
      <c r="G198" s="35">
        <v>2</v>
      </c>
      <c r="H198" s="35">
        <v>3</v>
      </c>
      <c r="I198" s="35" t="s">
        <v>211</v>
      </c>
    </row>
    <row r="199" spans="2:9" ht="30" customHeight="1" x14ac:dyDescent="0.25">
      <c r="B199" s="50">
        <v>4221</v>
      </c>
      <c r="C199" s="51"/>
      <c r="D199" s="39"/>
      <c r="E199" s="58" t="s">
        <v>158</v>
      </c>
      <c r="F199" s="74">
        <v>26545</v>
      </c>
      <c r="G199" s="74">
        <v>9500</v>
      </c>
      <c r="H199" s="73">
        <v>5699.38</v>
      </c>
      <c r="I199" s="73">
        <f t="shared" ref="I199" si="18">H199/G199*100</f>
        <v>59.993473684210528</v>
      </c>
    </row>
    <row r="200" spans="2:9" ht="30" customHeight="1" x14ac:dyDescent="0.25">
      <c r="B200" s="50">
        <v>4222</v>
      </c>
      <c r="C200" s="51"/>
      <c r="D200" s="39"/>
      <c r="E200" s="58" t="s">
        <v>159</v>
      </c>
      <c r="F200" s="74"/>
      <c r="G200" s="74">
        <v>6500</v>
      </c>
      <c r="H200" s="73">
        <v>700</v>
      </c>
      <c r="I200" s="73"/>
    </row>
    <row r="201" spans="2:9" ht="30" customHeight="1" x14ac:dyDescent="0.25">
      <c r="B201" s="50">
        <v>4223</v>
      </c>
      <c r="C201" s="51"/>
      <c r="D201" s="39"/>
      <c r="E201" s="58" t="s">
        <v>160</v>
      </c>
      <c r="F201" s="74">
        <v>26545</v>
      </c>
      <c r="G201" s="74">
        <v>2100</v>
      </c>
      <c r="H201" s="73">
        <v>1491.36</v>
      </c>
      <c r="I201" s="73">
        <f t="shared" si="16"/>
        <v>71.017142857142858</v>
      </c>
    </row>
    <row r="202" spans="2:9" ht="30" customHeight="1" x14ac:dyDescent="0.25">
      <c r="B202" s="50">
        <v>4225</v>
      </c>
      <c r="C202" s="51"/>
      <c r="D202" s="39"/>
      <c r="E202" s="58" t="s">
        <v>162</v>
      </c>
      <c r="F202" s="74">
        <v>13272</v>
      </c>
      <c r="G202" s="74">
        <v>3500</v>
      </c>
      <c r="H202" s="73">
        <v>2853.76</v>
      </c>
      <c r="I202" s="73">
        <f t="shared" si="16"/>
        <v>81.536000000000001</v>
      </c>
    </row>
    <row r="203" spans="2:9" ht="30" customHeight="1" x14ac:dyDescent="0.25">
      <c r="B203" s="50">
        <v>4226</v>
      </c>
      <c r="C203" s="51"/>
      <c r="D203" s="39"/>
      <c r="E203" s="58" t="s">
        <v>163</v>
      </c>
      <c r="F203" s="74"/>
      <c r="G203" s="74">
        <v>4500</v>
      </c>
      <c r="H203" s="73"/>
      <c r="I203" s="73"/>
    </row>
    <row r="204" spans="2:9" ht="30" customHeight="1" x14ac:dyDescent="0.25">
      <c r="B204" s="50">
        <v>4227</v>
      </c>
      <c r="C204" s="51"/>
      <c r="D204" s="39"/>
      <c r="E204" s="58" t="s">
        <v>108</v>
      </c>
      <c r="F204" s="74">
        <v>6769</v>
      </c>
      <c r="G204" s="74">
        <v>2000</v>
      </c>
      <c r="H204" s="73">
        <f>800+1127.5</f>
        <v>1927.5</v>
      </c>
      <c r="I204" s="73">
        <f t="shared" si="16"/>
        <v>96.375</v>
      </c>
    </row>
    <row r="205" spans="2:9" ht="30" customHeight="1" x14ac:dyDescent="0.25">
      <c r="B205" s="50">
        <v>4231</v>
      </c>
      <c r="C205" s="51"/>
      <c r="D205" s="39"/>
      <c r="E205" s="58" t="s">
        <v>100</v>
      </c>
      <c r="F205" s="74">
        <v>13272</v>
      </c>
      <c r="G205" s="74">
        <v>30000</v>
      </c>
      <c r="H205" s="73">
        <v>0</v>
      </c>
      <c r="I205" s="73">
        <f t="shared" si="16"/>
        <v>0</v>
      </c>
    </row>
    <row r="206" spans="2:9" ht="30" customHeight="1" x14ac:dyDescent="0.25">
      <c r="B206" s="120">
        <v>4252</v>
      </c>
      <c r="C206" s="121"/>
      <c r="D206" s="122"/>
      <c r="E206" s="41" t="s">
        <v>102</v>
      </c>
      <c r="F206" s="74">
        <v>33048</v>
      </c>
      <c r="G206" s="74">
        <v>4000</v>
      </c>
      <c r="H206" s="73">
        <v>0</v>
      </c>
      <c r="I206" s="73"/>
    </row>
    <row r="209" spans="2:9" x14ac:dyDescent="0.25">
      <c r="B209" s="40"/>
      <c r="C209" s="40"/>
      <c r="D209" s="40"/>
      <c r="E209" s="70"/>
      <c r="F209" s="40"/>
      <c r="G209" s="40"/>
      <c r="H209" s="40"/>
      <c r="I209" s="40"/>
    </row>
    <row r="210" spans="2:9" x14ac:dyDescent="0.25">
      <c r="B210" s="40"/>
      <c r="C210" s="40"/>
      <c r="D210" s="40"/>
      <c r="E210" s="70"/>
      <c r="F210" s="40"/>
      <c r="G210" s="40"/>
      <c r="H210" s="40"/>
      <c r="I210" s="40"/>
    </row>
    <row r="211" spans="2:9" x14ac:dyDescent="0.25">
      <c r="B211" s="40"/>
      <c r="C211" s="40"/>
      <c r="D211" s="40"/>
      <c r="E211" s="70"/>
      <c r="F211" s="40"/>
      <c r="G211" s="40"/>
      <c r="H211" s="40"/>
      <c r="I211" s="40"/>
    </row>
  </sheetData>
  <mergeCells count="35">
    <mergeCell ref="B21:D21"/>
    <mergeCell ref="B19:D19"/>
    <mergeCell ref="B206:D206"/>
    <mergeCell ref="B22:D22"/>
    <mergeCell ref="B179:D179"/>
    <mergeCell ref="B195:D195"/>
    <mergeCell ref="B20:D20"/>
    <mergeCell ref="B46:E46"/>
    <mergeCell ref="B47:E47"/>
    <mergeCell ref="B130:E130"/>
    <mergeCell ref="B131:E131"/>
    <mergeCell ref="B186:D186"/>
    <mergeCell ref="B197:E197"/>
    <mergeCell ref="B198:E198"/>
    <mergeCell ref="B89:E89"/>
    <mergeCell ref="B78:C78"/>
    <mergeCell ref="B4:I4"/>
    <mergeCell ref="B6:E6"/>
    <mergeCell ref="B7:E7"/>
    <mergeCell ref="B2:I2"/>
    <mergeCell ref="B18:D18"/>
    <mergeCell ref="B8:D8"/>
    <mergeCell ref="B16:D16"/>
    <mergeCell ref="B17:D17"/>
    <mergeCell ref="B10:D10"/>
    <mergeCell ref="B9:D9"/>
    <mergeCell ref="B11:D11"/>
    <mergeCell ref="B13:D13"/>
    <mergeCell ref="B14:D14"/>
    <mergeCell ref="B15:D15"/>
    <mergeCell ref="B181:C181"/>
    <mergeCell ref="B192:C192"/>
    <mergeCell ref="B88:E88"/>
    <mergeCell ref="B172:E172"/>
    <mergeCell ref="B173:E173"/>
  </mergeCells>
  <pageMargins left="0.7" right="0.7" top="0.75" bottom="0.75" header="0.3" footer="0.3"/>
  <pageSetup paperSize="9" scale="60" fitToHeight="0" orientation="portrait" r:id="rId1"/>
  <rowBreaks count="4" manualBreakCount="4">
    <brk id="87" max="16383" man="1"/>
    <brk id="129" max="16383" man="1"/>
    <brk id="171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2025-01-30T13:00:59Z</cp:lastPrinted>
  <dcterms:created xsi:type="dcterms:W3CDTF">2022-08-12T12:51:27Z</dcterms:created>
  <dcterms:modified xsi:type="dcterms:W3CDTF">2025-07-25T07:47:40Z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