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My Documents\MINISTARSTVO 2023\GODIŠNJI IZVJEŠTAJ 2023 SAP MIN\"/>
    </mc:Choice>
  </mc:AlternateContent>
  <xr:revisionPtr revIDLastSave="0" documentId="13_ncr:1_{A1F667F6-F242-4B14-9F9D-E8C779369140}" xr6:coauthVersionLast="47" xr6:coauthVersionMax="47" xr10:uidLastSave="{00000000-0000-0000-0000-000000000000}"/>
  <bookViews>
    <workbookView xWindow="0" yWindow="15" windowWidth="24000" windowHeight="1288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0">SAŽETAK!$B$1:$K$27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7" l="1"/>
  <c r="H22" i="7" s="1"/>
  <c r="H170" i="7"/>
  <c r="G170" i="7"/>
  <c r="H121" i="7"/>
  <c r="G121" i="7"/>
  <c r="H84" i="7"/>
  <c r="G84" i="7"/>
  <c r="G29" i="7"/>
  <c r="G22" i="7" s="1"/>
  <c r="E10" i="5"/>
  <c r="E18" i="5"/>
  <c r="G17" i="5"/>
  <c r="G18" i="5"/>
  <c r="H14" i="5"/>
  <c r="H15" i="5"/>
  <c r="G14" i="5"/>
  <c r="H162" i="7"/>
  <c r="G162" i="7"/>
  <c r="G161" i="7" s="1"/>
  <c r="I139" i="7"/>
  <c r="I163" i="7"/>
  <c r="I164" i="7"/>
  <c r="H166" i="7"/>
  <c r="I166" i="7" s="1"/>
  <c r="G166" i="7"/>
  <c r="I168" i="7"/>
  <c r="I158" i="7"/>
  <c r="H145" i="7"/>
  <c r="G145" i="7"/>
  <c r="I154" i="7"/>
  <c r="I151" i="7"/>
  <c r="I149" i="7"/>
  <c r="H135" i="7"/>
  <c r="G135" i="7"/>
  <c r="H137" i="7"/>
  <c r="G137" i="7"/>
  <c r="H140" i="7"/>
  <c r="G140" i="7"/>
  <c r="I141" i="7"/>
  <c r="F140" i="7"/>
  <c r="I138" i="7"/>
  <c r="F137" i="7"/>
  <c r="I136" i="7"/>
  <c r="F135" i="7"/>
  <c r="I82" i="7"/>
  <c r="G74" i="7"/>
  <c r="I12" i="7"/>
  <c r="G34" i="5"/>
  <c r="G36" i="5"/>
  <c r="G30" i="5"/>
  <c r="H30" i="5"/>
  <c r="C36" i="5"/>
  <c r="C34" i="5"/>
  <c r="C32" i="5"/>
  <c r="C31" i="5"/>
  <c r="C30" i="5"/>
  <c r="C28" i="5"/>
  <c r="C26" i="5"/>
  <c r="C20" i="5"/>
  <c r="C18" i="5"/>
  <c r="C15" i="5"/>
  <c r="C12" i="5"/>
  <c r="C10" i="5"/>
  <c r="C14" i="5"/>
  <c r="C24" i="5"/>
  <c r="C16" i="5"/>
  <c r="C8" i="5"/>
  <c r="G143" i="3"/>
  <c r="G140" i="3"/>
  <c r="K140" i="3" s="1"/>
  <c r="G138" i="3"/>
  <c r="K138" i="3" s="1"/>
  <c r="G137" i="3"/>
  <c r="G136" i="3" s="1"/>
  <c r="L137" i="3"/>
  <c r="L138" i="3"/>
  <c r="H136" i="3"/>
  <c r="I136" i="3"/>
  <c r="J136" i="3"/>
  <c r="L136" i="3" s="1"/>
  <c r="G135" i="3"/>
  <c r="G133" i="3"/>
  <c r="G132" i="3"/>
  <c r="G131" i="3"/>
  <c r="G129" i="3"/>
  <c r="G128" i="3"/>
  <c r="G127" i="3"/>
  <c r="G124" i="3"/>
  <c r="G117" i="3"/>
  <c r="G114" i="3"/>
  <c r="G111" i="3"/>
  <c r="G110" i="3"/>
  <c r="G109" i="3"/>
  <c r="G102" i="3"/>
  <c r="G100" i="3"/>
  <c r="G99" i="3"/>
  <c r="G98" i="3"/>
  <c r="G97" i="3"/>
  <c r="G96" i="3"/>
  <c r="G94" i="3"/>
  <c r="G92" i="3"/>
  <c r="G91" i="3"/>
  <c r="G90" i="3"/>
  <c r="G89" i="3"/>
  <c r="G88" i="3"/>
  <c r="G87" i="3"/>
  <c r="G86" i="3"/>
  <c r="G85" i="3"/>
  <c r="G84" i="3"/>
  <c r="G82" i="3"/>
  <c r="G81" i="3"/>
  <c r="G80" i="3"/>
  <c r="G79" i="3"/>
  <c r="G78" i="3"/>
  <c r="G77" i="3"/>
  <c r="G74" i="3"/>
  <c r="G73" i="3"/>
  <c r="G72" i="3"/>
  <c r="G69" i="3"/>
  <c r="G68" i="3"/>
  <c r="G66" i="3"/>
  <c r="G64" i="3"/>
  <c r="G63" i="3"/>
  <c r="G55" i="3"/>
  <c r="K55" i="3" s="1"/>
  <c r="G46" i="3"/>
  <c r="G44" i="3"/>
  <c r="K44" i="3" s="1"/>
  <c r="G41" i="3"/>
  <c r="G38" i="3"/>
  <c r="G37" i="3"/>
  <c r="K37" i="3" s="1"/>
  <c r="G35" i="3"/>
  <c r="K35" i="3" s="1"/>
  <c r="G34" i="3"/>
  <c r="G31" i="3"/>
  <c r="G28" i="3"/>
  <c r="G27" i="3"/>
  <c r="G24" i="3"/>
  <c r="K24" i="3" s="1"/>
  <c r="G22" i="3"/>
  <c r="G18" i="3"/>
  <c r="K18" i="3" s="1"/>
  <c r="G17" i="3"/>
  <c r="K17" i="3" s="1"/>
  <c r="G15" i="3"/>
  <c r="K15" i="3" s="1"/>
  <c r="G14" i="3"/>
  <c r="K14" i="3" s="1"/>
  <c r="L50" i="3"/>
  <c r="L52" i="3"/>
  <c r="L53" i="3"/>
  <c r="K50" i="3"/>
  <c r="K53" i="3"/>
  <c r="K38" i="3"/>
  <c r="K41" i="3"/>
  <c r="K22" i="3"/>
  <c r="L14" i="3"/>
  <c r="L15" i="3"/>
  <c r="L17" i="3"/>
  <c r="L18" i="3"/>
  <c r="L22" i="3"/>
  <c r="L23" i="3"/>
  <c r="L24" i="3"/>
  <c r="L38" i="3"/>
  <c r="H19" i="3"/>
  <c r="I19" i="3"/>
  <c r="J19" i="3"/>
  <c r="G19" i="3"/>
  <c r="J13" i="3"/>
  <c r="G13" i="1"/>
  <c r="G14" i="1"/>
  <c r="G11" i="1"/>
  <c r="G10" i="1"/>
  <c r="F84" i="7"/>
  <c r="F29" i="7"/>
  <c r="F134" i="7" l="1"/>
  <c r="I140" i="7"/>
  <c r="G134" i="7"/>
  <c r="H134" i="7"/>
  <c r="I134" i="7" s="1"/>
  <c r="I135" i="7"/>
  <c r="I137" i="7"/>
  <c r="K136" i="3"/>
  <c r="K137" i="3"/>
  <c r="K25" i="1"/>
  <c r="K24" i="1"/>
  <c r="J25" i="1"/>
  <c r="J24" i="1"/>
  <c r="K14" i="1"/>
  <c r="K13" i="1"/>
  <c r="K11" i="1"/>
  <c r="K10" i="1"/>
  <c r="I18" i="7"/>
  <c r="I19" i="7"/>
  <c r="I20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8" i="7"/>
  <c r="I49" i="7"/>
  <c r="I50" i="7"/>
  <c r="I51" i="7"/>
  <c r="I52" i="7"/>
  <c r="I53" i="7"/>
  <c r="I54" i="7"/>
  <c r="I55" i="7"/>
  <c r="I56" i="7"/>
  <c r="I59" i="7"/>
  <c r="I60" i="7"/>
  <c r="I62" i="7"/>
  <c r="I64" i="7"/>
  <c r="I66" i="7"/>
  <c r="I67" i="7"/>
  <c r="I68" i="7"/>
  <c r="I69" i="7"/>
  <c r="I70" i="7"/>
  <c r="I71" i="7"/>
  <c r="I72" i="7"/>
  <c r="I73" i="7"/>
  <c r="I75" i="7"/>
  <c r="I76" i="7"/>
  <c r="I79" i="7"/>
  <c r="I80" i="7"/>
  <c r="I81" i="7"/>
  <c r="I83" i="7"/>
  <c r="I85" i="7"/>
  <c r="I86" i="7"/>
  <c r="I87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5" i="7"/>
  <c r="I116" i="7"/>
  <c r="I118" i="7"/>
  <c r="I122" i="7"/>
  <c r="I123" i="7"/>
  <c r="I124" i="7"/>
  <c r="I125" i="7"/>
  <c r="I126" i="7"/>
  <c r="I127" i="7"/>
  <c r="I128" i="7"/>
  <c r="I129" i="7"/>
  <c r="I132" i="7"/>
  <c r="I133" i="7"/>
  <c r="I144" i="7"/>
  <c r="I147" i="7"/>
  <c r="I150" i="7"/>
  <c r="I153" i="7"/>
  <c r="I157" i="7"/>
  <c r="I159" i="7"/>
  <c r="I160" i="7"/>
  <c r="I165" i="7"/>
  <c r="I174" i="7"/>
  <c r="I175" i="7"/>
  <c r="I176" i="7"/>
  <c r="I177" i="7"/>
  <c r="G114" i="7"/>
  <c r="F9" i="7"/>
  <c r="G8" i="7"/>
  <c r="I15" i="7"/>
  <c r="I14" i="7"/>
  <c r="H9" i="7"/>
  <c r="I9" i="7" s="1"/>
  <c r="G17" i="7"/>
  <c r="H17" i="7"/>
  <c r="F17" i="7"/>
  <c r="H161" i="7"/>
  <c r="F162" i="7"/>
  <c r="F161" i="7" s="1"/>
  <c r="F14" i="7" s="1"/>
  <c r="G169" i="7"/>
  <c r="H169" i="7"/>
  <c r="F170" i="7"/>
  <c r="F169" i="7" s="1"/>
  <c r="G156" i="7"/>
  <c r="H156" i="7"/>
  <c r="G143" i="7"/>
  <c r="H143" i="7"/>
  <c r="F156" i="7"/>
  <c r="F145" i="7"/>
  <c r="F143" i="7"/>
  <c r="F121" i="7"/>
  <c r="G119" i="7"/>
  <c r="H119" i="7"/>
  <c r="F119" i="7"/>
  <c r="G117" i="7"/>
  <c r="H117" i="7"/>
  <c r="F117" i="7"/>
  <c r="H114" i="7"/>
  <c r="F114" i="7"/>
  <c r="G78" i="7"/>
  <c r="H78" i="7"/>
  <c r="I84" i="7"/>
  <c r="F78" i="7"/>
  <c r="F23" i="7"/>
  <c r="H74" i="7"/>
  <c r="F74" i="7"/>
  <c r="G65" i="7"/>
  <c r="H65" i="7"/>
  <c r="F65" i="7"/>
  <c r="G63" i="7"/>
  <c r="H63" i="7"/>
  <c r="I63" i="7" s="1"/>
  <c r="F63" i="7"/>
  <c r="G61" i="7"/>
  <c r="H61" i="7"/>
  <c r="F61" i="7"/>
  <c r="G57" i="7"/>
  <c r="H57" i="7"/>
  <c r="F57" i="7"/>
  <c r="G23" i="7"/>
  <c r="H23" i="7"/>
  <c r="H8" i="8"/>
  <c r="H7" i="8"/>
  <c r="G8" i="8"/>
  <c r="G7" i="8"/>
  <c r="D7" i="8"/>
  <c r="E7" i="8"/>
  <c r="F7" i="8"/>
  <c r="F6" i="8" s="1"/>
  <c r="D6" i="8"/>
  <c r="E6" i="8"/>
  <c r="C7" i="8"/>
  <c r="C6" i="8"/>
  <c r="C29" i="5"/>
  <c r="C27" i="5"/>
  <c r="C25" i="5"/>
  <c r="G24" i="5"/>
  <c r="E29" i="5"/>
  <c r="D31" i="5"/>
  <c r="D29" i="5" s="1"/>
  <c r="F27" i="5"/>
  <c r="D28" i="5"/>
  <c r="D26" i="5"/>
  <c r="D23" i="5"/>
  <c r="E23" i="5"/>
  <c r="F23" i="5"/>
  <c r="H23" i="5" s="1"/>
  <c r="D25" i="5"/>
  <c r="E25" i="5"/>
  <c r="F25" i="5"/>
  <c r="H25" i="5" s="1"/>
  <c r="D27" i="5"/>
  <c r="E27" i="5"/>
  <c r="F29" i="5"/>
  <c r="D33" i="5"/>
  <c r="E33" i="5"/>
  <c r="F33" i="5"/>
  <c r="G33" i="5" s="1"/>
  <c r="D35" i="5"/>
  <c r="E35" i="5"/>
  <c r="F35" i="5"/>
  <c r="G35" i="5" s="1"/>
  <c r="C35" i="5"/>
  <c r="C33" i="5"/>
  <c r="C23" i="5"/>
  <c r="H31" i="5"/>
  <c r="G32" i="5"/>
  <c r="H34" i="5"/>
  <c r="H36" i="5"/>
  <c r="H26" i="5"/>
  <c r="H24" i="5"/>
  <c r="H20" i="5"/>
  <c r="H18" i="5"/>
  <c r="H12" i="5"/>
  <c r="H10" i="5"/>
  <c r="H8" i="5"/>
  <c r="F17" i="5"/>
  <c r="E17" i="5"/>
  <c r="D17" i="5"/>
  <c r="C17" i="5"/>
  <c r="H17" i="5" l="1"/>
  <c r="I169" i="7"/>
  <c r="F15" i="7"/>
  <c r="F166" i="7"/>
  <c r="I61" i="7"/>
  <c r="I121" i="7"/>
  <c r="I161" i="7"/>
  <c r="G142" i="7"/>
  <c r="I65" i="7"/>
  <c r="I117" i="7"/>
  <c r="I162" i="7"/>
  <c r="I78" i="7"/>
  <c r="F22" i="7"/>
  <c r="F10" i="7" s="1"/>
  <c r="I143" i="7"/>
  <c r="I145" i="7"/>
  <c r="I17" i="7"/>
  <c r="I23" i="7"/>
  <c r="I156" i="7"/>
  <c r="I114" i="7"/>
  <c r="I57" i="7"/>
  <c r="I74" i="7"/>
  <c r="G6" i="8"/>
  <c r="H6" i="8"/>
  <c r="H35" i="5"/>
  <c r="C22" i="5"/>
  <c r="I170" i="7"/>
  <c r="F77" i="7"/>
  <c r="F142" i="7"/>
  <c r="H77" i="7"/>
  <c r="H21" i="7" s="1"/>
  <c r="H142" i="7"/>
  <c r="G77" i="7"/>
  <c r="G21" i="7" s="1"/>
  <c r="G31" i="5"/>
  <c r="G26" i="5"/>
  <c r="G29" i="5"/>
  <c r="G27" i="5"/>
  <c r="H27" i="5"/>
  <c r="G28" i="5"/>
  <c r="H28" i="5"/>
  <c r="F22" i="5"/>
  <c r="G25" i="5"/>
  <c r="D22" i="5"/>
  <c r="E22" i="5"/>
  <c r="G23" i="5"/>
  <c r="H29" i="5"/>
  <c r="H33" i="5"/>
  <c r="G16" i="5"/>
  <c r="G8" i="5"/>
  <c r="D19" i="5"/>
  <c r="E19" i="5"/>
  <c r="F19" i="5"/>
  <c r="D7" i="5"/>
  <c r="E7" i="5"/>
  <c r="F7" i="5"/>
  <c r="D9" i="5"/>
  <c r="E9" i="5"/>
  <c r="F9" i="5"/>
  <c r="D11" i="5"/>
  <c r="E11" i="5"/>
  <c r="F11" i="5"/>
  <c r="D13" i="5"/>
  <c r="E13" i="5"/>
  <c r="F13" i="5"/>
  <c r="C7" i="5"/>
  <c r="L145" i="3"/>
  <c r="L143" i="3"/>
  <c r="L140" i="3"/>
  <c r="L135" i="3"/>
  <c r="L133" i="3"/>
  <c r="L132" i="3"/>
  <c r="L131" i="3"/>
  <c r="L130" i="3"/>
  <c r="L129" i="3"/>
  <c r="L128" i="3"/>
  <c r="L127" i="3"/>
  <c r="L125" i="3"/>
  <c r="L124" i="3"/>
  <c r="L120" i="3"/>
  <c r="L117" i="3"/>
  <c r="L114" i="3"/>
  <c r="L111" i="3"/>
  <c r="L110" i="3"/>
  <c r="L109" i="3"/>
  <c r="L102" i="3"/>
  <c r="L101" i="3"/>
  <c r="L100" i="3"/>
  <c r="L99" i="3"/>
  <c r="L98" i="3"/>
  <c r="L97" i="3"/>
  <c r="L96" i="3"/>
  <c r="L94" i="3"/>
  <c r="L92" i="3"/>
  <c r="L91" i="3"/>
  <c r="L90" i="3"/>
  <c r="L89" i="3"/>
  <c r="L88" i="3"/>
  <c r="L87" i="3"/>
  <c r="L86" i="3"/>
  <c r="L85" i="3"/>
  <c r="L84" i="3"/>
  <c r="L82" i="3"/>
  <c r="L81" i="3"/>
  <c r="L80" i="3"/>
  <c r="L79" i="3"/>
  <c r="L78" i="3"/>
  <c r="L77" i="3"/>
  <c r="L75" i="3"/>
  <c r="L74" i="3"/>
  <c r="L73" i="3"/>
  <c r="L72" i="3"/>
  <c r="L69" i="3"/>
  <c r="L68" i="3"/>
  <c r="L66" i="3"/>
  <c r="L64" i="3"/>
  <c r="L63" i="3"/>
  <c r="L55" i="3"/>
  <c r="L46" i="3"/>
  <c r="L44" i="3"/>
  <c r="L41" i="3"/>
  <c r="L37" i="3"/>
  <c r="L35" i="3"/>
  <c r="L34" i="3"/>
  <c r="L31" i="3"/>
  <c r="L28" i="3"/>
  <c r="L27" i="3"/>
  <c r="K100" i="3"/>
  <c r="K98" i="3"/>
  <c r="K87" i="3"/>
  <c r="K86" i="3"/>
  <c r="K73" i="3"/>
  <c r="K31" i="3"/>
  <c r="G145" i="3"/>
  <c r="G144" i="3" s="1"/>
  <c r="G142" i="3"/>
  <c r="G141" i="3" s="1"/>
  <c r="G134" i="3"/>
  <c r="K133" i="3"/>
  <c r="K132" i="3"/>
  <c r="K131" i="3"/>
  <c r="K129" i="3"/>
  <c r="K128" i="3"/>
  <c r="K127" i="3"/>
  <c r="G125" i="3"/>
  <c r="K125" i="3" s="1"/>
  <c r="K124" i="3"/>
  <c r="K117" i="3"/>
  <c r="G113" i="3"/>
  <c r="G112" i="3" s="1"/>
  <c r="K111" i="3"/>
  <c r="K110" i="3"/>
  <c r="K109" i="3"/>
  <c r="K102" i="3"/>
  <c r="K99" i="3"/>
  <c r="K97" i="3"/>
  <c r="K96" i="3"/>
  <c r="K94" i="3"/>
  <c r="K92" i="3"/>
  <c r="K91" i="3"/>
  <c r="K90" i="3"/>
  <c r="K89" i="3"/>
  <c r="K88" i="3"/>
  <c r="K85" i="3"/>
  <c r="K84" i="3"/>
  <c r="K82" i="3"/>
  <c r="K81" i="3"/>
  <c r="K80" i="3"/>
  <c r="K79" i="3"/>
  <c r="K78" i="3"/>
  <c r="K74" i="3"/>
  <c r="K72" i="3"/>
  <c r="K69" i="3"/>
  <c r="K68" i="3"/>
  <c r="G65" i="3"/>
  <c r="K64" i="3"/>
  <c r="K63" i="3"/>
  <c r="G139" i="3"/>
  <c r="I139" i="3"/>
  <c r="J139" i="3"/>
  <c r="H139" i="3"/>
  <c r="I62" i="3"/>
  <c r="H144" i="3"/>
  <c r="I144" i="3"/>
  <c r="J144" i="3"/>
  <c r="H142" i="3"/>
  <c r="I142" i="3"/>
  <c r="J142" i="3"/>
  <c r="H134" i="3"/>
  <c r="I134" i="3"/>
  <c r="J134" i="3"/>
  <c r="H126" i="3"/>
  <c r="I126" i="3"/>
  <c r="J126" i="3"/>
  <c r="H123" i="3"/>
  <c r="I123" i="3"/>
  <c r="J123" i="3"/>
  <c r="H119" i="3"/>
  <c r="H118" i="3" s="1"/>
  <c r="I119" i="3"/>
  <c r="I118" i="3" s="1"/>
  <c r="J119" i="3"/>
  <c r="G119" i="3"/>
  <c r="G118" i="3"/>
  <c r="H116" i="3"/>
  <c r="H115" i="3" s="1"/>
  <c r="I116" i="3"/>
  <c r="I115" i="3" s="1"/>
  <c r="J116" i="3"/>
  <c r="J115" i="3" s="1"/>
  <c r="H113" i="3"/>
  <c r="H112" i="3" s="1"/>
  <c r="I113" i="3"/>
  <c r="I112" i="3" s="1"/>
  <c r="J113" i="3"/>
  <c r="J112" i="3" s="1"/>
  <c r="H108" i="3"/>
  <c r="I108" i="3"/>
  <c r="J108" i="3"/>
  <c r="H104" i="3"/>
  <c r="I104" i="3"/>
  <c r="J104" i="3"/>
  <c r="G104" i="3"/>
  <c r="H95" i="3"/>
  <c r="I95" i="3"/>
  <c r="J95" i="3"/>
  <c r="H93" i="3"/>
  <c r="I93" i="3"/>
  <c r="J93" i="3"/>
  <c r="L93" i="3" s="1"/>
  <c r="H83" i="3"/>
  <c r="I83" i="3"/>
  <c r="J83" i="3"/>
  <c r="H76" i="3"/>
  <c r="I76" i="3"/>
  <c r="J76" i="3"/>
  <c r="H71" i="3"/>
  <c r="I71" i="3"/>
  <c r="J71" i="3"/>
  <c r="L71" i="3" s="1"/>
  <c r="H67" i="3"/>
  <c r="I67" i="3"/>
  <c r="J67" i="3"/>
  <c r="H65" i="3"/>
  <c r="I65" i="3"/>
  <c r="J65" i="3"/>
  <c r="H62" i="3"/>
  <c r="J62" i="3"/>
  <c r="J33" i="3"/>
  <c r="J49" i="3"/>
  <c r="I49" i="3"/>
  <c r="H49" i="3"/>
  <c r="G49" i="3"/>
  <c r="I51" i="3"/>
  <c r="H51" i="3"/>
  <c r="J36" i="3"/>
  <c r="I36" i="3"/>
  <c r="L36" i="3" s="1"/>
  <c r="H36" i="3"/>
  <c r="G36" i="3"/>
  <c r="K36" i="3" s="1"/>
  <c r="I33" i="3"/>
  <c r="H33" i="3"/>
  <c r="G54" i="3"/>
  <c r="G52" i="3"/>
  <c r="G45" i="3"/>
  <c r="G43" i="3"/>
  <c r="G40" i="3"/>
  <c r="G30" i="3"/>
  <c r="G29" i="3" s="1"/>
  <c r="K27" i="3"/>
  <c r="K28" i="3"/>
  <c r="G16" i="3"/>
  <c r="J54" i="3"/>
  <c r="L54" i="3" s="1"/>
  <c r="J51" i="3"/>
  <c r="J45" i="3"/>
  <c r="J43" i="3"/>
  <c r="J40" i="3"/>
  <c r="J39" i="3" s="1"/>
  <c r="J30" i="3"/>
  <c r="J29" i="3" s="1"/>
  <c r="J26" i="3"/>
  <c r="J25" i="3" s="1"/>
  <c r="J21" i="3"/>
  <c r="J16" i="3"/>
  <c r="I54" i="3"/>
  <c r="I45" i="3"/>
  <c r="I43" i="3"/>
  <c r="I40" i="3"/>
  <c r="I39" i="3" s="1"/>
  <c r="I30" i="3"/>
  <c r="I29" i="3" s="1"/>
  <c r="I26" i="3"/>
  <c r="I25" i="3" s="1"/>
  <c r="I21" i="3"/>
  <c r="I16" i="3"/>
  <c r="I13" i="3"/>
  <c r="H54" i="3"/>
  <c r="H45" i="3"/>
  <c r="H43" i="3"/>
  <c r="H40" i="3"/>
  <c r="H39" i="3" s="1"/>
  <c r="H30" i="3"/>
  <c r="H29" i="3" s="1"/>
  <c r="H26" i="3"/>
  <c r="H25" i="3" s="1"/>
  <c r="H21" i="3"/>
  <c r="H16" i="3"/>
  <c r="H13" i="3"/>
  <c r="J122" i="3" l="1"/>
  <c r="I122" i="3"/>
  <c r="H122" i="3"/>
  <c r="H121" i="3" s="1"/>
  <c r="K54" i="3"/>
  <c r="K134" i="3"/>
  <c r="L21" i="3"/>
  <c r="L25" i="3"/>
  <c r="K43" i="3"/>
  <c r="G16" i="7"/>
  <c r="K139" i="3"/>
  <c r="G51" i="3"/>
  <c r="K51" i="3" s="1"/>
  <c r="K52" i="3"/>
  <c r="K49" i="3"/>
  <c r="L49" i="3"/>
  <c r="H12" i="3"/>
  <c r="K45" i="3"/>
  <c r="I12" i="3"/>
  <c r="L13" i="3"/>
  <c r="J12" i="3"/>
  <c r="L16" i="3"/>
  <c r="L51" i="3"/>
  <c r="K16" i="3"/>
  <c r="L65" i="3"/>
  <c r="L119" i="3"/>
  <c r="J141" i="3"/>
  <c r="K141" i="3" s="1"/>
  <c r="I103" i="3"/>
  <c r="H141" i="3"/>
  <c r="G39" i="3"/>
  <c r="K39" i="3" s="1"/>
  <c r="K40" i="3"/>
  <c r="L139" i="3"/>
  <c r="L76" i="3"/>
  <c r="L115" i="3"/>
  <c r="G67" i="3"/>
  <c r="K67" i="3" s="1"/>
  <c r="L108" i="3"/>
  <c r="G93" i="3"/>
  <c r="K93" i="3" s="1"/>
  <c r="L112" i="3"/>
  <c r="F11" i="7"/>
  <c r="F21" i="7"/>
  <c r="F16" i="7" s="1"/>
  <c r="I22" i="7"/>
  <c r="I13" i="7"/>
  <c r="I142" i="7"/>
  <c r="I11" i="7"/>
  <c r="I77" i="7"/>
  <c r="F13" i="7"/>
  <c r="K66" i="3"/>
  <c r="L116" i="3"/>
  <c r="L33" i="3"/>
  <c r="L95" i="3"/>
  <c r="L30" i="3"/>
  <c r="L43" i="3"/>
  <c r="K144" i="3"/>
  <c r="L123" i="3"/>
  <c r="G123" i="3"/>
  <c r="K123" i="3" s="1"/>
  <c r="L126" i="3"/>
  <c r="L40" i="3"/>
  <c r="L29" i="3"/>
  <c r="L39" i="3"/>
  <c r="G33" i="3"/>
  <c r="G32" i="3" s="1"/>
  <c r="L83" i="3"/>
  <c r="K65" i="3"/>
  <c r="J61" i="3"/>
  <c r="J118" i="3"/>
  <c r="L118" i="3" s="1"/>
  <c r="K142" i="3"/>
  <c r="K34" i="3"/>
  <c r="K143" i="3"/>
  <c r="L67" i="3"/>
  <c r="L144" i="3"/>
  <c r="K29" i="3"/>
  <c r="I141" i="3"/>
  <c r="G95" i="3"/>
  <c r="K95" i="3" s="1"/>
  <c r="L26" i="3"/>
  <c r="L142" i="3"/>
  <c r="K112" i="3"/>
  <c r="G48" i="3"/>
  <c r="G47" i="3" s="1"/>
  <c r="G83" i="3"/>
  <c r="K83" i="3" s="1"/>
  <c r="J103" i="3"/>
  <c r="G126" i="3"/>
  <c r="G122" i="3" s="1"/>
  <c r="K113" i="3"/>
  <c r="G116" i="3"/>
  <c r="K145" i="3"/>
  <c r="G71" i="3"/>
  <c r="G108" i="3"/>
  <c r="K108" i="3" s="1"/>
  <c r="K114" i="3"/>
  <c r="G76" i="3"/>
  <c r="K76" i="3" s="1"/>
  <c r="L134" i="3"/>
  <c r="L45" i="3"/>
  <c r="L62" i="3"/>
  <c r="H103" i="3"/>
  <c r="K77" i="3"/>
  <c r="L113" i="3"/>
  <c r="G62" i="3"/>
  <c r="K62" i="3" s="1"/>
  <c r="K46" i="3"/>
  <c r="K135" i="3"/>
  <c r="K30" i="3"/>
  <c r="G22" i="5"/>
  <c r="H22" i="5"/>
  <c r="H7" i="5"/>
  <c r="G7" i="5"/>
  <c r="F6" i="5"/>
  <c r="E6" i="5"/>
  <c r="C19" i="5"/>
  <c r="G19" i="5" s="1"/>
  <c r="G20" i="5"/>
  <c r="H13" i="5"/>
  <c r="H19" i="5"/>
  <c r="D6" i="5"/>
  <c r="H11" i="5"/>
  <c r="C9" i="5"/>
  <c r="G10" i="5"/>
  <c r="C11" i="5"/>
  <c r="G11" i="5" s="1"/>
  <c r="G12" i="5"/>
  <c r="H9" i="5"/>
  <c r="C13" i="5"/>
  <c r="G13" i="5" s="1"/>
  <c r="G15" i="5"/>
  <c r="G103" i="3"/>
  <c r="J70" i="3"/>
  <c r="H70" i="3"/>
  <c r="I70" i="3"/>
  <c r="H61" i="3"/>
  <c r="I61" i="3"/>
  <c r="G21" i="3"/>
  <c r="K21" i="3" s="1"/>
  <c r="H32" i="3"/>
  <c r="I32" i="3"/>
  <c r="G13" i="3"/>
  <c r="J48" i="3"/>
  <c r="J42" i="3"/>
  <c r="H48" i="3"/>
  <c r="H47" i="3" s="1"/>
  <c r="I48" i="3"/>
  <c r="I47" i="3" s="1"/>
  <c r="J32" i="3"/>
  <c r="I42" i="3"/>
  <c r="H42" i="3"/>
  <c r="G42" i="3"/>
  <c r="G26" i="3"/>
  <c r="G25" i="3" s="1"/>
  <c r="K25" i="3" s="1"/>
  <c r="J14" i="1"/>
  <c r="J10" i="1"/>
  <c r="J11" i="1"/>
  <c r="H12" i="1"/>
  <c r="H15" i="1"/>
  <c r="I15" i="1"/>
  <c r="K15" i="1" s="1"/>
  <c r="I12" i="1"/>
  <c r="G26" i="1"/>
  <c r="H23" i="1"/>
  <c r="I23" i="1"/>
  <c r="G23" i="1"/>
  <c r="I26" i="1"/>
  <c r="H26" i="1"/>
  <c r="L141" i="3" l="1"/>
  <c r="F8" i="7"/>
  <c r="C6" i="5"/>
  <c r="G6" i="5" s="1"/>
  <c r="G121" i="3"/>
  <c r="K42" i="3"/>
  <c r="L12" i="3"/>
  <c r="G12" i="3"/>
  <c r="K12" i="3" s="1"/>
  <c r="K13" i="3"/>
  <c r="G61" i="3"/>
  <c r="K61" i="3" s="1"/>
  <c r="K33" i="3"/>
  <c r="G15" i="1"/>
  <c r="J15" i="1" s="1"/>
  <c r="J13" i="1"/>
  <c r="K26" i="1"/>
  <c r="J26" i="1"/>
  <c r="K12" i="1"/>
  <c r="I10" i="7"/>
  <c r="H8" i="7"/>
  <c r="I8" i="7" s="1"/>
  <c r="I21" i="7"/>
  <c r="H16" i="7"/>
  <c r="I16" i="7" s="1"/>
  <c r="I121" i="3"/>
  <c r="J60" i="3"/>
  <c r="K126" i="3"/>
  <c r="G70" i="3"/>
  <c r="K70" i="3" s="1"/>
  <c r="K103" i="3"/>
  <c r="L103" i="3"/>
  <c r="L32" i="3"/>
  <c r="K32" i="3"/>
  <c r="L61" i="3"/>
  <c r="L42" i="3"/>
  <c r="H60" i="3"/>
  <c r="H59" i="3" s="1"/>
  <c r="K116" i="3"/>
  <c r="G115" i="3"/>
  <c r="K115" i="3" s="1"/>
  <c r="J47" i="3"/>
  <c r="L47" i="3" s="1"/>
  <c r="L48" i="3"/>
  <c r="K48" i="3"/>
  <c r="L70" i="3"/>
  <c r="K71" i="3"/>
  <c r="J11" i="3"/>
  <c r="L11" i="3" s="1"/>
  <c r="J121" i="3"/>
  <c r="K122" i="3"/>
  <c r="L122" i="3"/>
  <c r="K26" i="3"/>
  <c r="H6" i="5"/>
  <c r="G9" i="5"/>
  <c r="I60" i="3"/>
  <c r="I11" i="3"/>
  <c r="I10" i="3" s="1"/>
  <c r="H11" i="3"/>
  <c r="H10" i="3" s="1"/>
  <c r="G12" i="1"/>
  <c r="H16" i="1"/>
  <c r="H27" i="1" s="1"/>
  <c r="I16" i="1"/>
  <c r="G11" i="3" l="1"/>
  <c r="G10" i="3" s="1"/>
  <c r="K10" i="3" s="1"/>
  <c r="L60" i="3"/>
  <c r="J59" i="3"/>
  <c r="G16" i="1"/>
  <c r="G27" i="1" s="1"/>
  <c r="I59" i="3"/>
  <c r="K47" i="3"/>
  <c r="K121" i="3"/>
  <c r="L121" i="3"/>
  <c r="G60" i="3"/>
  <c r="J10" i="3"/>
  <c r="L10" i="3" s="1"/>
  <c r="J12" i="1"/>
  <c r="I27" i="1"/>
  <c r="K16" i="1"/>
  <c r="K11" i="3" l="1"/>
  <c r="L59" i="3"/>
  <c r="J16" i="1"/>
  <c r="J27" i="1"/>
  <c r="G59" i="3"/>
  <c r="K59" i="3" s="1"/>
  <c r="K60" i="3"/>
</calcChain>
</file>

<file path=xl/sharedStrings.xml><?xml version="1.0" encoding="utf-8"?>
<sst xmlns="http://schemas.openxmlformats.org/spreadsheetml/2006/main" count="508" uniqueCount="220">
  <si>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</si>
  <si>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</si>
  <si>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</si>
  <si>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</si>
  <si>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</si>
  <si>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</si>
  <si>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</si>
  <si>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</si>
  <si>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</si>
  <si>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</si>
  <si>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</si>
  <si>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</si>
  <si>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</si>
  <si>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</si>
  <si>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</si>
  <si>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</si>
  <si>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</si>
  <si>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</si>
  <si>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</si>
  <si>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</si>
  <si>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</si>
  <si>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</si>
  <si>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</si>
  <si>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</si>
  <si>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</si>
  <si>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</si>
  <si>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Prihodi od prodaje nefinancijske imovine</t>
  </si>
  <si>
    <t>Prihodi od prodaje proizvedene dugotrajne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</si>
  <si>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</si>
  <si>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</si>
  <si>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</si>
  <si>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</si>
  <si>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</si>
  <si>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</si>
  <si>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</si>
  <si>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</si>
  <si>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</si>
  <si>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</si>
  <si>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</si>
  <si>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</si>
  <si>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</si>
  <si>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</si>
  <si>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</si>
  <si>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</si>
  <si>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</si>
  <si>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</si>
  <si>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</si>
  <si>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</si>
  <si>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</si>
  <si>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</si>
  <si>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</si>
  <si>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</si>
  <si>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</si>
  <si>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</si>
  <si>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 xml:space="preserve">UKUPNO PRIHODI </t>
  </si>
  <si>
    <t>UKUPNO RASHODI</t>
  </si>
  <si>
    <t>UKUPNO PRIHODI</t>
  </si>
  <si>
    <t>TEKUĆI PLAN 2023.*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</si>
  <si>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</si>
  <si>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</si>
  <si>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</si>
  <si>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</si>
  <si>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</si>
  <si>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</si>
  <si>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</si>
  <si>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</si>
  <si>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</si>
  <si>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</si>
  <si>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</si>
  <si>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</si>
  <si>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Napomena:  Iznosi u stupcu "OSTVARENJE/IZVRŠENJE 1.-6.2022." preračunavaju se iz kuna u eure prema fiksnom tečaju konverzije (1 EUR=7,53450 kuna) i po pravilima za preračunavanje i zaokruživanje.</t>
  </si>
  <si>
    <t>Napomena : Iznosi u stupcima "OSTVARENJE/IZVRŠENJE 1.-6.2022." i "OSTVARENJE/IZVRŠENJE 1.-6. 2023." iskazuju se na dvije decimale.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</si>
  <si>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</si>
  <si>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SAŽETAK RAČUNA PRIHODA I RASHODA</t>
  </si>
  <si>
    <t>Pomoći od međunarodnih organizacija te institucija i tijela EU</t>
  </si>
  <si>
    <t>Tekuće pomoći od institucija i tijela  EU</t>
  </si>
  <si>
    <t>Kapitalne pomoći od institucija i tijela  EU</t>
  </si>
  <si>
    <t>Pomoći od ostalih subjekata unutar općeg proračuna</t>
  </si>
  <si>
    <t>Tekuće pomoći od ostalih subjekata unutar općeg proračuna</t>
  </si>
  <si>
    <t>Kapitalne pomoći od ostalih subjekata unutar općeg proračuna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</si>
  <si>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</si>
  <si>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</si>
  <si>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</si>
  <si>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</si>
  <si>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Prihodi od imovine</t>
  </si>
  <si>
    <t>Prihodi od financijske imovine</t>
  </si>
  <si>
    <t>Kamate na oročena sredstva i depozite po viđenju</t>
  </si>
  <si>
    <t>Prihodi od pozitivnih tečajnih razlika i razlika zbog primjene valutne klauzule</t>
  </si>
  <si>
    <t>Prihodi od upravnih i admin. pristojbi, pristojbi po pos. propisima i naknada</t>
  </si>
  <si>
    <t>Prihodi po posebnim propisima</t>
  </si>
  <si>
    <t>Ostali nespomenuti prihodi</t>
  </si>
  <si>
    <t>Prihodi od prodaje proizvoda i robe te pruženih usluga i prihodi od donacija te povrati po protestiranim jamstvima</t>
  </si>
  <si>
    <t>Prihodi od pruženih usluga</t>
  </si>
  <si>
    <t>Prihodi iz proračuna</t>
  </si>
  <si>
    <t>Prihodi iz proračuna za financiranje redovne djelatnosti proračunskih korisnika</t>
  </si>
  <si>
    <t>Prihodi za financiranje rashoda poslovanja</t>
  </si>
  <si>
    <t>Kazne, upravne mjere i ostali prihodi</t>
  </si>
  <si>
    <t>Kazne i upravne mjere</t>
  </si>
  <si>
    <t>Ostale kazne</t>
  </si>
  <si>
    <t>Ostali prihodi</t>
  </si>
  <si>
    <t>Prihodi od prodaje prijevoznih sredstava</t>
  </si>
  <si>
    <t>Prijevozna sredstva u cestovnom prometu</t>
  </si>
  <si>
    <t>Prihodi od prodaje višegodišnjih nasada i osnovnog stada</t>
  </si>
  <si>
    <t>Osnovno stado</t>
  </si>
  <si>
    <t>Donacije od pravnih i fizičkih osoba izvan proračuna</t>
  </si>
  <si>
    <t>Tekuće donacije</t>
  </si>
  <si>
    <t>Kapitalne donacije</t>
  </si>
  <si>
    <t>Prijevozna sredstva u pomorskom i riječnom prometu</t>
  </si>
  <si>
    <t>Prihodi od prodaje postrojenja i opreme</t>
  </si>
  <si>
    <t>Uređaji, strojevi i oprema za ostale namjene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</si>
  <si>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</si>
  <si>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</si>
  <si>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</si>
  <si>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</si>
  <si>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</si>
  <si>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</si>
  <si>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</si>
  <si>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</si>
  <si>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</si>
  <si>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</si>
  <si>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</si>
  <si>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</si>
  <si>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</si>
  <si>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</si>
  <si>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</si>
  <si>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</si>
  <si>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</si>
  <si>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</si>
  <si>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</si>
  <si>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</si>
  <si>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</si>
  <si>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</si>
  <si>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</si>
  <si>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</si>
  <si>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</si>
  <si>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</si>
  <si>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</si>
  <si>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</si>
  <si>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</si>
  <si>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</si>
  <si>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</t>
  </si>
  <si>
    <t>Pristojbe i naknade</t>
  </si>
  <si>
    <t>Troškovi sudskih postupaka</t>
  </si>
  <si>
    <t>Financijski rashodi</t>
  </si>
  <si>
    <t>Kamate za izdane vrijednosne papire</t>
  </si>
  <si>
    <t>Kamate za izdane trezorske zapise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</si>
  <si>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</si>
  <si>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</si>
  <si>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</si>
  <si>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</si>
  <si>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Pomoći dane u inozemstvo i unutar općeg proračuna</t>
  </si>
  <si>
    <t>Naknade građanima i kućanstvima na temelju osiguranja i druge naknade</t>
  </si>
  <si>
    <t>Ostale naknade građanima i kućanstvima iz proračuna</t>
  </si>
  <si>
    <t>Naknade građanima i kućanstvima u novcu</t>
  </si>
  <si>
    <t>Rashodi za nabavu proizvedene dugotrajne imovine</t>
  </si>
  <si>
    <t>Građevinski objekti</t>
  </si>
  <si>
    <t>Poslovni objekti</t>
  </si>
  <si>
    <t>Ostali građevinski objekti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</si>
  <si>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</si>
  <si>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</si>
  <si>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</si>
  <si>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</si>
  <si>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</si>
  <si>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</si>
  <si>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Sportska i glazbena oprema</t>
  </si>
  <si>
    <t>Prijevozna sredstva</t>
  </si>
  <si>
    <t>Rashodi za dodatna ulaganja na nefinancijskoj imovini</t>
  </si>
  <si>
    <t>Dodatna ulaganja na građevinskim objektima</t>
  </si>
  <si>
    <t>Dodatna ulaganja na postrojenjima i opremi</t>
  </si>
  <si>
    <t>4  Prihodi posebne namjene</t>
  </si>
  <si>
    <t>43 Ostali prihodi za posebne namjene</t>
  </si>
  <si>
    <t>5  Pomoći</t>
  </si>
  <si>
    <t>51 Pomoći EU</t>
  </si>
  <si>
    <t>52 Ostale pomoći</t>
  </si>
  <si>
    <t>56 Fondovi EU</t>
  </si>
  <si>
    <t>7 Prihodi od prodaje ili zamjene nefinancijske imovine i naknade s osnova osiguranja</t>
  </si>
  <si>
    <t>71 Prihodi od prodaje ili zamjene nefinancijske imovine i naknade s osnova osiguranja</t>
  </si>
  <si>
    <t>6 Donacije</t>
  </si>
  <si>
    <t>61 Donacije</t>
  </si>
  <si>
    <t>05 Zaštita okoliša</t>
  </si>
  <si>
    <t>054 Zaštita bioraznolikosti i krajolika</t>
  </si>
  <si>
    <t>JAVNA USTANOVA NACIONALNI PARK BRIJUNI</t>
  </si>
  <si>
    <t>Opći prihodi i primici</t>
  </si>
  <si>
    <t>Vlastiti prihodi</t>
  </si>
  <si>
    <t>Ostali prihodi za posebne namjene</t>
  </si>
  <si>
    <t>Ostale pomoći</t>
  </si>
  <si>
    <t>Donacije</t>
  </si>
  <si>
    <t>Prihodi od nefinancijske imovine i naknade štete s osnova osiguranja</t>
  </si>
  <si>
    <t>Program:Zaštita prirode</t>
  </si>
  <si>
    <t>A779000</t>
  </si>
  <si>
    <t>Aktivnost: ADMINISTRACIJA I UPRAVLJANJE</t>
  </si>
  <si>
    <t>Izvor 11</t>
  </si>
  <si>
    <t>A779047</t>
  </si>
  <si>
    <t>Izvor 31</t>
  </si>
  <si>
    <t>Izvor 43</t>
  </si>
  <si>
    <t>Ostali rashodi</t>
  </si>
  <si>
    <t>Izvor 52</t>
  </si>
  <si>
    <t>Izvor 61</t>
  </si>
  <si>
    <t>Prihodi od prodaje ili zamjene nefinancijske imovine i naknade s naslova osiguranja</t>
  </si>
  <si>
    <t>Izvor 71</t>
  </si>
  <si>
    <t>Aktivnost: ADMINISTRACIJA I UPRAVLJANJE (IZ EVIDENCIJSKIH PRIHODA)</t>
  </si>
  <si>
    <t>IZVRŠENJE FINANCIJSKOG PLANA PRORAČUNSKOG KORISNIKA DRŽAVNOG PRORAČUNA
ZA 2023. GODINU</t>
  </si>
  <si>
    <t>Tekuće pomoći proračunskim korisnicima iz proračuna koji im nije nadležan</t>
  </si>
  <si>
    <t>Tekuće pomoći iz državnog proračuna proračunskim korisnicima proračuna JLP(R)S</t>
  </si>
  <si>
    <t xml:space="preserve">OSTVARENJE/ IZVRŠENJE 
1.-12.2022. </t>
  </si>
  <si>
    <t xml:space="preserve">OSTVARENJE/ IZVRŠENJE 
1.-12.2023. </t>
  </si>
  <si>
    <t>Umjetnička djela ( izložena u galerijama, muzejima i sl.)</t>
  </si>
  <si>
    <t>Muzejski izlošci i predmeti prirodnih rijetkosti</t>
  </si>
  <si>
    <t xml:space="preserve"> IZVRŠENJE 
1.-12.2022. </t>
  </si>
  <si>
    <t xml:space="preserve"> IZVRŠENJE 
1.-12.2023. </t>
  </si>
  <si>
    <t>6=4/2*100</t>
  </si>
  <si>
    <t>7=4/3*100</t>
  </si>
  <si>
    <t>5=4/2*100</t>
  </si>
  <si>
    <t>6=4/3*100</t>
  </si>
  <si>
    <t>Pomoći EU</t>
  </si>
  <si>
    <t>4=3/2*100</t>
  </si>
  <si>
    <t>Izvor 51</t>
  </si>
  <si>
    <t xml:space="preserve">OSTVARENJE/IZVRŠENJE 
1.-12.2022. </t>
  </si>
  <si>
    <t xml:space="preserve">OSTVARENJE/IZVRŠENJE 
1.-12.2023. </t>
  </si>
  <si>
    <t xml:space="preserve">OSTVARENJE/IZVRŠENJE 1.-12.2022.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</si>
</sst>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3" fontId="5" fillId="0" borderId="3" xfId="0" applyNumberFormat="1" applyFont="1" applyBorder="1" applyAlignment="1">
      <alignment horizontal="right"/>
    </xf>
    <xf numFmtId="0" fontId="8" fillId="3" borderId="1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3" xfId="0" applyBorder="1"/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7" fillId="0" borderId="0" xfId="0" applyFont="1"/>
    <xf numFmtId="0" fontId="3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8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6" fillId="3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vertical="center" wrapText="1"/>
    </xf>
    <xf numFmtId="4" fontId="6" fillId="3" borderId="3" xfId="0" applyNumberFormat="1" applyFont="1" applyFill="1" applyBorder="1" applyAlignment="1">
      <alignment wrapText="1"/>
    </xf>
    <xf numFmtId="4" fontId="6" fillId="0" borderId="3" xfId="0" applyNumberFormat="1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19" fillId="0" borderId="3" xfId="0" applyFont="1" applyBorder="1"/>
    <xf numFmtId="0" fontId="19" fillId="0" borderId="0" xfId="0" applyFont="1"/>
    <xf numFmtId="4" fontId="19" fillId="0" borderId="3" xfId="0" applyNumberFormat="1" applyFont="1" applyBorder="1"/>
    <xf numFmtId="4" fontId="5" fillId="2" borderId="3" xfId="0" applyNumberFormat="1" applyFont="1" applyFill="1" applyBorder="1"/>
    <xf numFmtId="4" fontId="8" fillId="2" borderId="3" xfId="0" applyNumberFormat="1" applyFont="1" applyFill="1" applyBorder="1" applyAlignment="1">
      <alignment vertical="center" wrapText="1"/>
    </xf>
    <xf numFmtId="0" fontId="20" fillId="0" borderId="3" xfId="0" applyFont="1" applyBorder="1"/>
    <xf numFmtId="4" fontId="20" fillId="0" borderId="3" xfId="0" applyNumberFormat="1" applyFont="1" applyBorder="1"/>
    <xf numFmtId="4" fontId="0" fillId="0" borderId="3" xfId="0" applyNumberFormat="1" applyBorder="1"/>
    <xf numFmtId="4" fontId="1" fillId="0" borderId="3" xfId="0" applyNumberFormat="1" applyFont="1" applyBorder="1"/>
    <xf numFmtId="0" fontId="18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vertical="top" wrapText="1"/>
    </xf>
    <xf numFmtId="0" fontId="5" fillId="2" borderId="4" xfId="0" applyFont="1" applyFill="1" applyBorder="1" applyAlignment="1">
      <alignment horizontal="left" vertical="center" wrapText="1"/>
    </xf>
    <xf numFmtId="0" fontId="20" fillId="0" borderId="0" xfId="0" applyFont="1" applyAlignment="1">
      <alignment wrapText="1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4" fontId="15" fillId="2" borderId="3" xfId="0" applyNumberFormat="1" applyFont="1" applyFill="1" applyBorder="1" applyAlignment="1">
      <alignment vertical="center" wrapText="1"/>
    </xf>
    <xf numFmtId="4" fontId="5" fillId="2" borderId="4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6" fillId="0" borderId="3" xfId="2" applyFont="1" applyBorder="1" applyAlignment="1">
      <alignment horizontal="left" vertical="center" wrapText="1"/>
    </xf>
    <xf numFmtId="0" fontId="5" fillId="3" borderId="3" xfId="0" quotePrefix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5" fillId="3" borderId="3" xfId="0" quotePrefix="1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8" fillId="2" borderId="0" xfId="0" applyFont="1" applyFill="1" applyAlignment="1">
      <alignment horizontal="left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</cellXfs>
  <cellStyles count="3">
    <cellStyle name="Normalno" xfId="0" builtinId="0"/>
    <cellStyle name="Obično_List4" xfId="1" xr:uid="{00000000-0005-0000-0000-000001000000}"/>
    <cellStyle name="Obično_List7" xfId="2" xr:uid="{8CF0FF99-2EF4-4C2F-90B9-8320E06B59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5"/>
  <sheetViews>
    <sheetView tabSelected="1" topLeftCell="B1" zoomScaleNormal="100" workbookViewId="0">
      <selection activeCell="O8" sqref="O8"/>
    </sheetView>
  </sheetViews>
  <sheetFormatPr defaultRowHeight="15" x14ac:dyDescent="0.25"/>
  <cols>
    <col min="6" max="9" width="25.28515625" customWidth="1"/>
    <col min="10" max="11" width="15.7109375" customWidth="1"/>
    <col min="12" max="12" width="25.28515625" customWidth="1"/>
  </cols>
  <sheetData>
    <row r="1" spans="2:12" ht="42" customHeight="1" x14ac:dyDescent="0.25">
      <c r="B1" s="86" t="s">
        <v>201</v>
      </c>
      <c r="C1" s="86"/>
      <c r="D1" s="86"/>
      <c r="E1" s="86"/>
      <c r="F1" s="86"/>
      <c r="G1" s="86"/>
      <c r="H1" s="86"/>
      <c r="I1" s="86"/>
      <c r="J1" s="86"/>
      <c r="K1" s="86"/>
      <c r="L1" s="24"/>
    </row>
    <row r="2" spans="2:12" ht="18" customHeight="1" x14ac:dyDescent="0.25">
      <c r="B2" s="85"/>
      <c r="C2" s="85"/>
      <c r="D2" s="85"/>
      <c r="E2" s="85"/>
      <c r="F2" s="85"/>
      <c r="G2" s="85"/>
      <c r="H2" s="85"/>
      <c r="I2" s="85"/>
      <c r="J2" s="85"/>
      <c r="K2" s="85"/>
      <c r="L2" s="2"/>
    </row>
    <row r="3" spans="2:12" ht="15.75" customHeight="1" x14ac:dyDescent="0.25">
      <c r="B3" s="86" t="s">
        <v>11</v>
      </c>
      <c r="C3" s="86"/>
      <c r="D3" s="86"/>
      <c r="E3" s="86"/>
      <c r="F3" s="86"/>
      <c r="G3" s="86"/>
      <c r="H3" s="86"/>
      <c r="I3" s="86"/>
      <c r="J3" s="86"/>
      <c r="K3" s="86"/>
      <c r="L3" s="23"/>
    </row>
    <row r="4" spans="2:12" ht="18" x14ac:dyDescent="0.25">
      <c r="B4" s="85"/>
      <c r="C4" s="85"/>
      <c r="D4" s="85"/>
      <c r="E4" s="85"/>
      <c r="F4" s="85"/>
      <c r="G4" s="85"/>
      <c r="H4" s="85"/>
      <c r="I4" s="85"/>
      <c r="J4" s="85"/>
      <c r="K4" s="85"/>
      <c r="L4" s="3"/>
    </row>
    <row r="5" spans="2:12" ht="18" customHeight="1" x14ac:dyDescent="0.25">
      <c r="B5" s="86" t="s">
        <v>61</v>
      </c>
      <c r="C5" s="86"/>
      <c r="D5" s="86"/>
      <c r="E5" s="86"/>
      <c r="F5" s="86"/>
      <c r="G5" s="86"/>
      <c r="H5" s="86"/>
      <c r="I5" s="86"/>
      <c r="J5" s="86"/>
      <c r="K5" s="86"/>
      <c r="L5" s="22"/>
    </row>
    <row r="6" spans="2:12" ht="18" customHeight="1" x14ac:dyDescent="0.25">
      <c r="B6" s="86"/>
      <c r="C6" s="86"/>
      <c r="D6" s="86"/>
      <c r="E6" s="86"/>
      <c r="F6" s="86"/>
      <c r="G6" s="86"/>
      <c r="H6" s="86"/>
      <c r="I6" s="86"/>
      <c r="J6" s="86"/>
      <c r="K6" s="86"/>
      <c r="L6" s="22"/>
    </row>
    <row r="7" spans="2:12" ht="18" customHeight="1" x14ac:dyDescent="0.25">
      <c r="B7" s="103" t="s">
        <v>73</v>
      </c>
      <c r="C7" s="103"/>
      <c r="D7" s="103"/>
      <c r="E7" s="103"/>
      <c r="F7" s="103"/>
      <c r="G7" s="45"/>
      <c r="H7" s="46"/>
      <c r="I7" s="46"/>
      <c r="J7" s="47"/>
      <c r="K7" s="47"/>
    </row>
    <row r="8" spans="2:12" ht="25.5" x14ac:dyDescent="0.25">
      <c r="B8" s="97" t="s">
        <v>7</v>
      </c>
      <c r="C8" s="97"/>
      <c r="D8" s="97"/>
      <c r="E8" s="97"/>
      <c r="F8" s="97"/>
      <c r="G8" s="84" t="s">
        <v>219</v>
      </c>
      <c r="H8" s="33" t="s">
        <v>60</v>
      </c>
      <c r="I8" s="84" t="s">
        <v>218</v>
      </c>
      <c r="J8" s="84" t="s">
        <v>28</v>
      </c>
      <c r="K8" s="84" t="s">
        <v>58</v>
      </c>
    </row>
    <row r="9" spans="2:12" x14ac:dyDescent="0.25">
      <c r="B9" s="98">
        <v>1</v>
      </c>
      <c r="C9" s="98"/>
      <c r="D9" s="98"/>
      <c r="E9" s="98"/>
      <c r="F9" s="99"/>
      <c r="G9" s="31">
        <v>2</v>
      </c>
      <c r="H9" s="30">
        <v>3</v>
      </c>
      <c r="I9" s="30">
        <v>4</v>
      </c>
      <c r="J9" s="30" t="s">
        <v>212</v>
      </c>
      <c r="K9" s="30" t="s">
        <v>213</v>
      </c>
    </row>
    <row r="10" spans="2:12" x14ac:dyDescent="0.25">
      <c r="B10" s="93" t="s">
        <v>30</v>
      </c>
      <c r="C10" s="94"/>
      <c r="D10" s="94"/>
      <c r="E10" s="94"/>
      <c r="F10" s="95"/>
      <c r="G10" s="57">
        <f>88183343.65/7.5345</f>
        <v>11703941.02462008</v>
      </c>
      <c r="H10" s="75">
        <v>11247379</v>
      </c>
      <c r="I10" s="75">
        <v>11280425.789999999</v>
      </c>
      <c r="J10" s="75">
        <f t="shared" ref="J10:J16" si="0">I10/G10*100</f>
        <v>96.381430547802765</v>
      </c>
      <c r="K10" s="75">
        <f>I10/H10*100</f>
        <v>100.29381769743866</v>
      </c>
    </row>
    <row r="11" spans="2:12" x14ac:dyDescent="0.25">
      <c r="B11" s="96" t="s">
        <v>29</v>
      </c>
      <c r="C11" s="95"/>
      <c r="D11" s="95"/>
      <c r="E11" s="95"/>
      <c r="F11" s="95"/>
      <c r="G11" s="57">
        <f>531485.59/7.5345</f>
        <v>70540.260136704484</v>
      </c>
      <c r="H11" s="75">
        <v>92906</v>
      </c>
      <c r="I11" s="75">
        <v>11820.06</v>
      </c>
      <c r="J11" s="75">
        <f t="shared" si="0"/>
        <v>16.756473504766142</v>
      </c>
      <c r="K11" s="75">
        <f>I11/H11*100</f>
        <v>12.722601338987793</v>
      </c>
    </row>
    <row r="12" spans="2:12" x14ac:dyDescent="0.25">
      <c r="B12" s="90" t="s">
        <v>0</v>
      </c>
      <c r="C12" s="91"/>
      <c r="D12" s="91"/>
      <c r="E12" s="91"/>
      <c r="F12" s="92"/>
      <c r="G12" s="53">
        <f t="shared" ref="G12" si="1">SUM(G10:G11)</f>
        <v>11774481.284756785</v>
      </c>
      <c r="H12" s="53">
        <f>SUM(H10:H11)</f>
        <v>11340285</v>
      </c>
      <c r="I12" s="53">
        <f>SUM(I10:I11)</f>
        <v>11292245.85</v>
      </c>
      <c r="J12" s="79">
        <f t="shared" si="0"/>
        <v>95.90440187474681</v>
      </c>
      <c r="K12" s="79">
        <f>I12/H12*100</f>
        <v>99.576384985033442</v>
      </c>
    </row>
    <row r="13" spans="2:12" x14ac:dyDescent="0.25">
      <c r="B13" s="102" t="s">
        <v>31</v>
      </c>
      <c r="C13" s="94"/>
      <c r="D13" s="94"/>
      <c r="E13" s="94"/>
      <c r="F13" s="94"/>
      <c r="G13" s="56">
        <f>67590525/7.5345</f>
        <v>8970804.3002189919</v>
      </c>
      <c r="H13" s="75">
        <v>10625089</v>
      </c>
      <c r="I13" s="75">
        <v>10938347.73</v>
      </c>
      <c r="J13" s="80">
        <f t="shared" si="0"/>
        <v>121.9327427500896</v>
      </c>
      <c r="K13" s="80">
        <f t="shared" ref="K13:K14" si="2">I13/H13*100</f>
        <v>102.94829276253591</v>
      </c>
    </row>
    <row r="14" spans="2:12" x14ac:dyDescent="0.25">
      <c r="B14" s="96" t="s">
        <v>32</v>
      </c>
      <c r="C14" s="95"/>
      <c r="D14" s="95"/>
      <c r="E14" s="95"/>
      <c r="F14" s="95"/>
      <c r="G14" s="57">
        <f>4471557.8/7.5345</f>
        <v>593477.70920432673</v>
      </c>
      <c r="H14" s="75">
        <v>706258</v>
      </c>
      <c r="I14" s="75">
        <v>388485.31</v>
      </c>
      <c r="J14" s="80">
        <f t="shared" si="0"/>
        <v>65.459124070698579</v>
      </c>
      <c r="K14" s="80">
        <f t="shared" si="2"/>
        <v>55.006146479048738</v>
      </c>
    </row>
    <row r="15" spans="2:12" x14ac:dyDescent="0.25">
      <c r="B15" s="17" t="s">
        <v>1</v>
      </c>
      <c r="C15" s="44"/>
      <c r="D15" s="44"/>
      <c r="E15" s="44"/>
      <c r="F15" s="44"/>
      <c r="G15" s="53">
        <f>G13+G14</f>
        <v>9564282.0094233193</v>
      </c>
      <c r="H15" s="53">
        <f>SUM(H13:H14)</f>
        <v>11331347</v>
      </c>
      <c r="I15" s="53">
        <f>SUM(I13:I14)</f>
        <v>11326833.040000001</v>
      </c>
      <c r="J15" s="79">
        <f t="shared" si="0"/>
        <v>118.42847198399325</v>
      </c>
      <c r="K15" s="79">
        <f>I15/H15*100</f>
        <v>99.960163959324518</v>
      </c>
    </row>
    <row r="16" spans="2:12" x14ac:dyDescent="0.25">
      <c r="B16" s="101" t="s">
        <v>2</v>
      </c>
      <c r="C16" s="91"/>
      <c r="D16" s="91"/>
      <c r="E16" s="91"/>
      <c r="F16" s="91"/>
      <c r="G16" s="54">
        <f>G12-G15</f>
        <v>2210199.275333466</v>
      </c>
      <c r="H16" s="54">
        <f>H12-H15</f>
        <v>8938</v>
      </c>
      <c r="I16" s="54">
        <f t="shared" ref="I16" si="3">I12-I15</f>
        <v>-34587.190000001341</v>
      </c>
      <c r="J16" s="79">
        <f t="shared" si="0"/>
        <v>-1.5648901158373136</v>
      </c>
      <c r="K16" s="79">
        <f>I16/H16*100</f>
        <v>-386.9678899082719</v>
      </c>
    </row>
    <row r="17" spans="1:48" ht="18" x14ac:dyDescent="0.25"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1"/>
    </row>
    <row r="18" spans="1:48" ht="18" customHeight="1" x14ac:dyDescent="0.25">
      <c r="B18" s="107" t="s">
        <v>67</v>
      </c>
      <c r="C18" s="107"/>
      <c r="D18" s="107"/>
      <c r="E18" s="107"/>
      <c r="F18" s="107"/>
      <c r="G18" s="45"/>
      <c r="H18" s="46"/>
      <c r="I18" s="46"/>
      <c r="J18" s="47"/>
      <c r="K18" s="47"/>
      <c r="L18" s="1"/>
    </row>
    <row r="19" spans="1:48" ht="25.5" x14ac:dyDescent="0.25">
      <c r="B19" s="97" t="s">
        <v>7</v>
      </c>
      <c r="C19" s="97"/>
      <c r="D19" s="97"/>
      <c r="E19" s="97"/>
      <c r="F19" s="97"/>
      <c r="G19" s="84" t="s">
        <v>217</v>
      </c>
      <c r="H19" s="33" t="s">
        <v>60</v>
      </c>
      <c r="I19" s="33" t="s">
        <v>218</v>
      </c>
      <c r="J19" s="33" t="s">
        <v>28</v>
      </c>
      <c r="K19" s="33" t="s">
        <v>58</v>
      </c>
    </row>
    <row r="20" spans="1:48" x14ac:dyDescent="0.25">
      <c r="B20" s="108">
        <v>1</v>
      </c>
      <c r="C20" s="109"/>
      <c r="D20" s="109"/>
      <c r="E20" s="109"/>
      <c r="F20" s="109"/>
      <c r="G20" s="32">
        <v>2</v>
      </c>
      <c r="H20" s="30">
        <v>3</v>
      </c>
      <c r="I20" s="30">
        <v>4</v>
      </c>
      <c r="J20" s="30" t="s">
        <v>212</v>
      </c>
      <c r="K20" s="30" t="s">
        <v>213</v>
      </c>
    </row>
    <row r="21" spans="1:48" ht="15.75" customHeight="1" x14ac:dyDescent="0.25">
      <c r="B21" s="93" t="s">
        <v>33</v>
      </c>
      <c r="C21" s="110"/>
      <c r="D21" s="110"/>
      <c r="E21" s="110"/>
      <c r="F21" s="110"/>
      <c r="G21" s="26"/>
      <c r="H21" s="16"/>
      <c r="I21" s="75"/>
      <c r="J21" s="75"/>
      <c r="K21" s="75"/>
    </row>
    <row r="22" spans="1:48" x14ac:dyDescent="0.25">
      <c r="B22" s="93" t="s">
        <v>34</v>
      </c>
      <c r="C22" s="94"/>
      <c r="D22" s="94"/>
      <c r="E22" s="94"/>
      <c r="F22" s="94"/>
      <c r="G22" s="25"/>
      <c r="H22" s="16"/>
      <c r="I22" s="75"/>
      <c r="J22" s="75"/>
      <c r="K22" s="75"/>
    </row>
    <row r="23" spans="1:48" ht="15" customHeight="1" x14ac:dyDescent="0.25">
      <c r="B23" s="104" t="s">
        <v>59</v>
      </c>
      <c r="C23" s="105"/>
      <c r="D23" s="105"/>
      <c r="E23" s="105"/>
      <c r="F23" s="106"/>
      <c r="G23" s="53">
        <f>G21-G22</f>
        <v>0</v>
      </c>
      <c r="H23" s="53">
        <f t="shared" ref="H23:I23" si="4">H21-H22</f>
        <v>0</v>
      </c>
      <c r="I23" s="53">
        <f t="shared" si="4"/>
        <v>0</v>
      </c>
      <c r="J23" s="79"/>
      <c r="K23" s="79"/>
    </row>
    <row r="24" spans="1:48" s="34" customFormat="1" ht="15" customHeight="1" x14ac:dyDescent="0.25">
      <c r="A24"/>
      <c r="B24" s="93" t="s">
        <v>17</v>
      </c>
      <c r="C24" s="94"/>
      <c r="D24" s="94"/>
      <c r="E24" s="94"/>
      <c r="F24" s="94"/>
      <c r="G24" s="56">
        <v>2847595.4</v>
      </c>
      <c r="H24" s="75">
        <v>5057795</v>
      </c>
      <c r="I24" s="75">
        <v>5057794.68</v>
      </c>
      <c r="J24" s="75">
        <f>I24/G24*100</f>
        <v>177.61633833233469</v>
      </c>
      <c r="K24" s="75">
        <f t="shared" ref="K24:K26" si="5">I24/H24*100</f>
        <v>99.999993673132252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 s="34" customFormat="1" ht="15" customHeight="1" x14ac:dyDescent="0.25">
      <c r="A25"/>
      <c r="B25" s="93" t="s">
        <v>66</v>
      </c>
      <c r="C25" s="94"/>
      <c r="D25" s="94"/>
      <c r="E25" s="94"/>
      <c r="F25" s="94"/>
      <c r="G25" s="56">
        <v>-5057794.68</v>
      </c>
      <c r="H25" s="75">
        <v>-5066733</v>
      </c>
      <c r="I25" s="75">
        <v>-5023207.49</v>
      </c>
      <c r="J25" s="75">
        <f>I25/G25*100</f>
        <v>99.3161606552206</v>
      </c>
      <c r="K25" s="75">
        <f t="shared" si="5"/>
        <v>99.14095512828483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s="43" customFormat="1" x14ac:dyDescent="0.25">
      <c r="A26" s="42"/>
      <c r="B26" s="104" t="s">
        <v>68</v>
      </c>
      <c r="C26" s="105"/>
      <c r="D26" s="105"/>
      <c r="E26" s="105"/>
      <c r="F26" s="106"/>
      <c r="G26" s="53">
        <f>G24+G25</f>
        <v>-2210199.2799999998</v>
      </c>
      <c r="H26" s="53">
        <f t="shared" ref="H26" si="6">H24+H25</f>
        <v>-8938</v>
      </c>
      <c r="I26" s="53">
        <f t="shared" ref="I26" si="7">I24+I25</f>
        <v>34587.189999999478</v>
      </c>
      <c r="J26" s="79">
        <f>I26/G26*100</f>
        <v>-1.5648901125331776</v>
      </c>
      <c r="K26" s="79">
        <f t="shared" si="5"/>
        <v>-386.96788990825104</v>
      </c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</row>
    <row r="27" spans="1:48" x14ac:dyDescent="0.25">
      <c r="B27" s="100" t="s">
        <v>69</v>
      </c>
      <c r="C27" s="100"/>
      <c r="D27" s="100"/>
      <c r="E27" s="100"/>
      <c r="F27" s="100"/>
      <c r="G27" s="55">
        <f>G16+G26</f>
        <v>-4.666533786803484E-3</v>
      </c>
      <c r="H27" s="55">
        <f t="shared" ref="H27:I27" si="8">H16+H26</f>
        <v>0</v>
      </c>
      <c r="I27" s="55">
        <f t="shared" si="8"/>
        <v>-1.862645149230957E-9</v>
      </c>
      <c r="J27" s="79">
        <f>I27/G27*100</f>
        <v>3.9914961175216199E-5</v>
      </c>
      <c r="K27" s="79"/>
    </row>
    <row r="29" spans="1:48" x14ac:dyDescent="0.25"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48" x14ac:dyDescent="0.25">
      <c r="B30" s="88" t="s">
        <v>70</v>
      </c>
      <c r="C30" s="88"/>
      <c r="D30" s="88"/>
      <c r="E30" s="88"/>
      <c r="F30" s="88"/>
      <c r="G30" s="88"/>
      <c r="H30" s="88"/>
      <c r="I30" s="88"/>
      <c r="J30" s="88"/>
      <c r="K30" s="88"/>
    </row>
    <row r="31" spans="1:48" ht="15" customHeight="1" x14ac:dyDescent="0.25">
      <c r="B31" s="88" t="s">
        <v>71</v>
      </c>
      <c r="C31" s="88"/>
      <c r="D31" s="88"/>
      <c r="E31" s="88"/>
      <c r="F31" s="88"/>
      <c r="G31" s="88"/>
      <c r="H31" s="88"/>
      <c r="I31" s="88"/>
      <c r="J31" s="88"/>
      <c r="K31" s="88"/>
    </row>
    <row r="32" spans="1:48" ht="15" customHeight="1" x14ac:dyDescent="0.25">
      <c r="B32" s="88" t="s">
        <v>64</v>
      </c>
      <c r="C32" s="88"/>
      <c r="D32" s="88"/>
      <c r="E32" s="88"/>
      <c r="F32" s="88"/>
      <c r="G32" s="88"/>
      <c r="H32" s="88"/>
      <c r="I32" s="88"/>
      <c r="J32" s="88"/>
      <c r="K32" s="88"/>
    </row>
    <row r="33" spans="2:11" ht="36.75" customHeight="1" x14ac:dyDescent="0.25"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pans="2:11" ht="15" customHeight="1" x14ac:dyDescent="0.25">
      <c r="B34" s="89" t="s">
        <v>72</v>
      </c>
      <c r="C34" s="89"/>
      <c r="D34" s="89"/>
      <c r="E34" s="89"/>
      <c r="F34" s="89"/>
      <c r="G34" s="89"/>
      <c r="H34" s="89"/>
      <c r="I34" s="89"/>
      <c r="J34" s="89"/>
      <c r="K34" s="89"/>
    </row>
    <row r="35" spans="2:11" x14ac:dyDescent="0.25">
      <c r="B35" s="89"/>
      <c r="C35" s="89"/>
      <c r="D35" s="89"/>
      <c r="E35" s="89"/>
      <c r="F35" s="89"/>
      <c r="G35" s="89"/>
      <c r="H35" s="89"/>
      <c r="I35" s="89"/>
      <c r="J35" s="89"/>
      <c r="K35" s="89"/>
    </row>
  </sheetData>
  <mergeCells count="30">
    <mergeCell ref="B26:F26"/>
    <mergeCell ref="B23:F23"/>
    <mergeCell ref="B18:F18"/>
    <mergeCell ref="B24:F24"/>
    <mergeCell ref="B25:F25"/>
    <mergeCell ref="B19:F19"/>
    <mergeCell ref="B20:F20"/>
    <mergeCell ref="B21:F21"/>
    <mergeCell ref="B1:K1"/>
    <mergeCell ref="B32:K33"/>
    <mergeCell ref="B34:K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K30"/>
    <mergeCell ref="B31:K31"/>
    <mergeCell ref="B7:F7"/>
    <mergeCell ref="B2:K2"/>
    <mergeCell ref="B4:K4"/>
    <mergeCell ref="B6:K6"/>
    <mergeCell ref="B17:K17"/>
    <mergeCell ref="B5:K5"/>
    <mergeCell ref="B3:K3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51"/>
  <sheetViews>
    <sheetView topLeftCell="A132" zoomScale="90" zoomScaleNormal="90" workbookViewId="0">
      <selection activeCell="D111" sqref="D11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7" width="19.7109375" customWidth="1"/>
    <col min="8" max="8" width="19.7109375" hidden="1" customWidth="1"/>
    <col min="9" max="9" width="19.7109375" customWidth="1"/>
    <col min="10" max="10" width="21.42578125" customWidth="1"/>
    <col min="11" max="11" width="12.85546875" customWidth="1"/>
    <col min="12" max="12" width="12.5703125" customWidth="1"/>
  </cols>
  <sheetData>
    <row r="1" spans="2:12" ht="9.75" customHeight="1" x14ac:dyDescent="0.25"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2:12" ht="15.75" customHeight="1" x14ac:dyDescent="0.25">
      <c r="B2" s="86" t="s">
        <v>11</v>
      </c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2:12" ht="6" customHeight="1" x14ac:dyDescent="0.25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2:12" ht="15.75" customHeight="1" x14ac:dyDescent="0.25">
      <c r="B4" s="86" t="s">
        <v>63</v>
      </c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2:12" ht="9" customHeight="1" x14ac:dyDescent="0.25"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2:12" ht="15.75" customHeight="1" x14ac:dyDescent="0.25">
      <c r="B6" s="86" t="s">
        <v>43</v>
      </c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2:12" ht="10.5" customHeight="1" x14ac:dyDescent="0.25"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2:12" ht="39" customHeight="1" x14ac:dyDescent="0.25">
      <c r="B8" s="111" t="s">
        <v>7</v>
      </c>
      <c r="C8" s="112"/>
      <c r="D8" s="112"/>
      <c r="E8" s="112"/>
      <c r="F8" s="113"/>
      <c r="G8" s="33" t="s">
        <v>204</v>
      </c>
      <c r="H8" s="33" t="s">
        <v>60</v>
      </c>
      <c r="I8" s="33" t="s">
        <v>60</v>
      </c>
      <c r="J8" s="33" t="s">
        <v>205</v>
      </c>
      <c r="K8" s="33" t="s">
        <v>28</v>
      </c>
      <c r="L8" s="33" t="s">
        <v>58</v>
      </c>
    </row>
    <row r="9" spans="2:12" x14ac:dyDescent="0.25">
      <c r="B9" s="114">
        <v>1</v>
      </c>
      <c r="C9" s="115"/>
      <c r="D9" s="115"/>
      <c r="E9" s="115"/>
      <c r="F9" s="116"/>
      <c r="G9" s="35">
        <v>2</v>
      </c>
      <c r="H9" s="35">
        <v>3</v>
      </c>
      <c r="I9" s="35">
        <v>3</v>
      </c>
      <c r="J9" s="35">
        <v>4</v>
      </c>
      <c r="K9" s="35" t="s">
        <v>212</v>
      </c>
      <c r="L9" s="35" t="s">
        <v>213</v>
      </c>
    </row>
    <row r="10" spans="2:12" x14ac:dyDescent="0.25">
      <c r="B10" s="6"/>
      <c r="C10" s="6"/>
      <c r="D10" s="6"/>
      <c r="E10" s="6"/>
      <c r="F10" s="6" t="s">
        <v>56</v>
      </c>
      <c r="G10" s="76">
        <f>SUM(G11,G47)</f>
        <v>11774481.284756783</v>
      </c>
      <c r="H10" s="76">
        <f>SUM(H11,H47)</f>
        <v>11340284</v>
      </c>
      <c r="I10" s="76">
        <f>SUM(I11,I47)</f>
        <v>11340285</v>
      </c>
      <c r="J10" s="64">
        <f>SUM(J11,J47)</f>
        <v>11292245.85</v>
      </c>
      <c r="K10" s="65">
        <f>J10/G10*100</f>
        <v>95.904401874746839</v>
      </c>
      <c r="L10" s="65">
        <f>J10/I10*100</f>
        <v>99.576384985033442</v>
      </c>
    </row>
    <row r="11" spans="2:12" x14ac:dyDescent="0.25">
      <c r="B11" s="6">
        <v>6</v>
      </c>
      <c r="C11" s="6"/>
      <c r="D11" s="6"/>
      <c r="E11" s="6"/>
      <c r="F11" s="6" t="s">
        <v>3</v>
      </c>
      <c r="G11" s="61">
        <f>SUM(G12,G25,G29,G32,G39,G42)</f>
        <v>11703941.024620079</v>
      </c>
      <c r="H11" s="61">
        <f>SUM(H12,H25,H29,H32,H39,H42)</f>
        <v>11247378</v>
      </c>
      <c r="I11" s="61">
        <f>SUM(I12,I25,I29,I32,I39,I42)</f>
        <v>11247379</v>
      </c>
      <c r="J11" s="61">
        <f>SUM(J12,J25,J29,J32,J39,J42)</f>
        <v>11280425.789999999</v>
      </c>
      <c r="K11" s="65">
        <f t="shared" ref="K11:K25" si="0">J11/G11*100</f>
        <v>96.381430547802793</v>
      </c>
      <c r="L11" s="65">
        <f t="shared" ref="L11:L25" si="1">J11/I11*100</f>
        <v>100.29381769743866</v>
      </c>
    </row>
    <row r="12" spans="2:12" ht="25.5" x14ac:dyDescent="0.25">
      <c r="B12" s="6"/>
      <c r="C12" s="6">
        <v>63</v>
      </c>
      <c r="D12" s="10"/>
      <c r="E12" s="10"/>
      <c r="F12" s="10" t="s">
        <v>15</v>
      </c>
      <c r="G12" s="73">
        <f>SUM(G13,G16,G19,G21)</f>
        <v>1245599.9960183154</v>
      </c>
      <c r="H12" s="73">
        <f t="shared" ref="H12:J12" si="2">SUM(H13,H16,H19,H21)</f>
        <v>343027</v>
      </c>
      <c r="I12" s="73">
        <f t="shared" si="2"/>
        <v>439974</v>
      </c>
      <c r="J12" s="73">
        <f t="shared" si="2"/>
        <v>259298.97</v>
      </c>
      <c r="K12" s="65">
        <f t="shared" si="0"/>
        <v>20.817194189858302</v>
      </c>
      <c r="L12" s="65">
        <f t="shared" si="1"/>
        <v>58.935066617572865</v>
      </c>
    </row>
    <row r="13" spans="2:12" x14ac:dyDescent="0.25">
      <c r="B13" s="7"/>
      <c r="C13" s="7"/>
      <c r="D13" s="7">
        <v>632</v>
      </c>
      <c r="E13" s="7"/>
      <c r="F13" s="58" t="s">
        <v>74</v>
      </c>
      <c r="G13" s="73">
        <f>SUM(G14:G15)</f>
        <v>765972.50779746496</v>
      </c>
      <c r="H13" s="73">
        <f>SUM(H14:H15)</f>
        <v>0</v>
      </c>
      <c r="I13" s="73">
        <f>SUM(I14:I15)</f>
        <v>92947</v>
      </c>
      <c r="J13" s="60">
        <f>SUM(J14:J15)</f>
        <v>92944.450000000012</v>
      </c>
      <c r="K13" s="65">
        <f t="shared" si="0"/>
        <v>12.134175711770581</v>
      </c>
      <c r="L13" s="65">
        <f t="shared" si="1"/>
        <v>99.997256501016722</v>
      </c>
    </row>
    <row r="14" spans="2:12" x14ac:dyDescent="0.25">
      <c r="B14" s="7"/>
      <c r="C14" s="7"/>
      <c r="D14" s="7"/>
      <c r="E14" s="7">
        <v>6323</v>
      </c>
      <c r="F14" s="58" t="s">
        <v>75</v>
      </c>
      <c r="G14" s="73">
        <f>2269098.37/7.5345</f>
        <v>301161.10823545029</v>
      </c>
      <c r="H14" s="73">
        <v>0</v>
      </c>
      <c r="I14" s="73">
        <v>92631</v>
      </c>
      <c r="J14" s="60">
        <v>92628.96</v>
      </c>
      <c r="K14" s="65">
        <f t="shared" si="0"/>
        <v>30.757278236465353</v>
      </c>
      <c r="L14" s="65">
        <f t="shared" si="1"/>
        <v>99.997797713508447</v>
      </c>
    </row>
    <row r="15" spans="2:12" x14ac:dyDescent="0.25">
      <c r="B15" s="7"/>
      <c r="C15" s="7"/>
      <c r="D15" s="7"/>
      <c r="E15" s="7">
        <v>6324</v>
      </c>
      <c r="F15" s="58" t="s">
        <v>76</v>
      </c>
      <c r="G15" s="73">
        <f>3502121.49/7.5345</f>
        <v>464811.39956201473</v>
      </c>
      <c r="H15" s="73">
        <v>0</v>
      </c>
      <c r="I15" s="73">
        <v>316</v>
      </c>
      <c r="J15" s="60">
        <v>315.49</v>
      </c>
      <c r="K15" s="65">
        <f t="shared" si="0"/>
        <v>6.7874841343667947E-2</v>
      </c>
      <c r="L15" s="65">
        <f t="shared" si="1"/>
        <v>99.838607594936718</v>
      </c>
    </row>
    <row r="16" spans="2:12" x14ac:dyDescent="0.25">
      <c r="B16" s="7"/>
      <c r="C16" s="7"/>
      <c r="D16" s="7">
        <v>634</v>
      </c>
      <c r="E16" s="7"/>
      <c r="F16" s="58" t="s">
        <v>77</v>
      </c>
      <c r="G16" s="73">
        <f>SUM(G17:G18)</f>
        <v>430919.94956533273</v>
      </c>
      <c r="H16" s="73">
        <f>SUM(H17:H18)</f>
        <v>248458</v>
      </c>
      <c r="I16" s="73">
        <f>SUM(I17:I18)</f>
        <v>273588</v>
      </c>
      <c r="J16" s="60">
        <f>SUM(J17:J18)</f>
        <v>36782.17</v>
      </c>
      <c r="K16" s="65">
        <f t="shared" si="0"/>
        <v>8.5357315290466431</v>
      </c>
      <c r="L16" s="65">
        <f t="shared" si="1"/>
        <v>13.444365249937862</v>
      </c>
    </row>
    <row r="17" spans="2:12" x14ac:dyDescent="0.25">
      <c r="B17" s="7"/>
      <c r="C17" s="7"/>
      <c r="D17" s="7"/>
      <c r="E17" s="7">
        <v>6341</v>
      </c>
      <c r="F17" s="58" t="s">
        <v>78</v>
      </c>
      <c r="G17" s="73">
        <f>573875.34/7.5345</f>
        <v>76166.346804698376</v>
      </c>
      <c r="H17" s="73">
        <v>248458</v>
      </c>
      <c r="I17" s="73">
        <v>267428</v>
      </c>
      <c r="J17" s="60">
        <v>36782.17</v>
      </c>
      <c r="K17" s="65">
        <f t="shared" si="0"/>
        <v>48.291892079732861</v>
      </c>
      <c r="L17" s="65">
        <f t="shared" si="1"/>
        <v>13.754045948816129</v>
      </c>
    </row>
    <row r="18" spans="2:12" x14ac:dyDescent="0.25">
      <c r="B18" s="7"/>
      <c r="C18" s="7"/>
      <c r="D18" s="7"/>
      <c r="E18" s="7">
        <v>6342</v>
      </c>
      <c r="F18" s="58" t="s">
        <v>79</v>
      </c>
      <c r="G18" s="73">
        <f>2672891.02/7.5345</f>
        <v>354753.60276063439</v>
      </c>
      <c r="H18" s="73"/>
      <c r="I18" s="73">
        <v>6160</v>
      </c>
      <c r="J18" s="60">
        <v>0</v>
      </c>
      <c r="K18" s="65">
        <f t="shared" si="0"/>
        <v>0</v>
      </c>
      <c r="L18" s="65">
        <f t="shared" si="1"/>
        <v>0</v>
      </c>
    </row>
    <row r="19" spans="2:12" ht="25.5" x14ac:dyDescent="0.25">
      <c r="B19" s="7"/>
      <c r="C19" s="7"/>
      <c r="D19" s="7">
        <v>636</v>
      </c>
      <c r="E19" s="7"/>
      <c r="F19" s="83" t="s">
        <v>202</v>
      </c>
      <c r="G19" s="73">
        <f>SUM(G20)</f>
        <v>0</v>
      </c>
      <c r="H19" s="73">
        <f t="shared" ref="H19:J19" si="3">SUM(H20)</f>
        <v>0</v>
      </c>
      <c r="I19" s="73">
        <f t="shared" si="3"/>
        <v>0</v>
      </c>
      <c r="J19" s="73">
        <f t="shared" si="3"/>
        <v>5000</v>
      </c>
      <c r="K19" s="65"/>
      <c r="L19" s="65"/>
    </row>
    <row r="20" spans="2:12" ht="25.5" x14ac:dyDescent="0.25">
      <c r="B20" s="7"/>
      <c r="C20" s="7"/>
      <c r="D20" s="7"/>
      <c r="E20" s="7">
        <v>6361</v>
      </c>
      <c r="F20" s="83" t="s">
        <v>203</v>
      </c>
      <c r="G20" s="73">
        <v>0</v>
      </c>
      <c r="H20" s="73"/>
      <c r="I20" s="73">
        <v>0</v>
      </c>
      <c r="J20" s="60">
        <v>5000</v>
      </c>
      <c r="K20" s="65"/>
      <c r="L20" s="65"/>
    </row>
    <row r="21" spans="2:12" x14ac:dyDescent="0.25">
      <c r="B21" s="7"/>
      <c r="C21" s="7"/>
      <c r="D21" s="7">
        <v>639</v>
      </c>
      <c r="E21" s="7"/>
      <c r="F21" s="58" t="s">
        <v>80</v>
      </c>
      <c r="G21" s="73">
        <f>SUM(G22:G24)</f>
        <v>48707.53865551795</v>
      </c>
      <c r="H21" s="73">
        <f>SUM(H22:H24)</f>
        <v>94569</v>
      </c>
      <c r="I21" s="73">
        <f>SUM(I22:I24)</f>
        <v>73439</v>
      </c>
      <c r="J21" s="60">
        <f>SUM(J22:J24)</f>
        <v>124572.35</v>
      </c>
      <c r="K21" s="65">
        <f t="shared" si="0"/>
        <v>255.75578942929718</v>
      </c>
      <c r="L21" s="65">
        <f t="shared" si="1"/>
        <v>169.6269693214777</v>
      </c>
    </row>
    <row r="22" spans="2:12" x14ac:dyDescent="0.25">
      <c r="B22" s="7"/>
      <c r="C22" s="7"/>
      <c r="D22" s="7"/>
      <c r="E22" s="7">
        <v>6391</v>
      </c>
      <c r="F22" s="58" t="s">
        <v>81</v>
      </c>
      <c r="G22" s="73">
        <f>35097.24/7.5345</f>
        <v>4658.2042604021499</v>
      </c>
      <c r="H22" s="73">
        <v>42691</v>
      </c>
      <c r="I22" s="73">
        <v>33054</v>
      </c>
      <c r="J22" s="60">
        <v>37688.79</v>
      </c>
      <c r="K22" s="65">
        <f t="shared" si="0"/>
        <v>809.0840996471519</v>
      </c>
      <c r="L22" s="65">
        <f t="shared" si="1"/>
        <v>114.02187329823926</v>
      </c>
    </row>
    <row r="23" spans="2:12" x14ac:dyDescent="0.25">
      <c r="B23" s="7"/>
      <c r="C23" s="7"/>
      <c r="D23" s="7"/>
      <c r="E23" s="7">
        <v>6392</v>
      </c>
      <c r="F23" s="58" t="s">
        <v>82</v>
      </c>
      <c r="G23" s="73"/>
      <c r="H23" s="73">
        <v>41378</v>
      </c>
      <c r="I23" s="73">
        <v>20385</v>
      </c>
      <c r="J23" s="60">
        <v>53982.62</v>
      </c>
      <c r="K23" s="65"/>
      <c r="L23" s="65">
        <f t="shared" si="1"/>
        <v>264.81540348295317</v>
      </c>
    </row>
    <row r="24" spans="2:12" x14ac:dyDescent="0.25">
      <c r="B24" s="7"/>
      <c r="C24" s="7"/>
      <c r="D24" s="7"/>
      <c r="E24" s="7">
        <v>6393</v>
      </c>
      <c r="F24" s="58" t="s">
        <v>83</v>
      </c>
      <c r="G24" s="73">
        <f>331889.71/7.5345</f>
        <v>44049.334395115802</v>
      </c>
      <c r="H24" s="73">
        <v>10500</v>
      </c>
      <c r="I24" s="73">
        <v>20000</v>
      </c>
      <c r="J24" s="60">
        <v>32900.94</v>
      </c>
      <c r="K24" s="65">
        <f t="shared" si="0"/>
        <v>74.691117247955646</v>
      </c>
      <c r="L24" s="65">
        <f t="shared" si="1"/>
        <v>164.50470000000001</v>
      </c>
    </row>
    <row r="25" spans="2:12" x14ac:dyDescent="0.25">
      <c r="B25" s="7"/>
      <c r="C25" s="15">
        <v>64</v>
      </c>
      <c r="D25" s="7"/>
      <c r="E25" s="7"/>
      <c r="F25" s="58" t="s">
        <v>84</v>
      </c>
      <c r="G25" s="73">
        <f>SUM(G26)</f>
        <v>50706.247262592071</v>
      </c>
      <c r="H25" s="73">
        <f>SUM(H26)</f>
        <v>6636</v>
      </c>
      <c r="I25" s="73">
        <f>SUM(I26)</f>
        <v>6636</v>
      </c>
      <c r="J25" s="60">
        <f>SUM(J26)</f>
        <v>627.62</v>
      </c>
      <c r="K25" s="65">
        <f t="shared" si="0"/>
        <v>1.2377567536200202</v>
      </c>
      <c r="L25" s="65">
        <f t="shared" si="1"/>
        <v>9.4578059071729967</v>
      </c>
    </row>
    <row r="26" spans="2:12" x14ac:dyDescent="0.25">
      <c r="B26" s="7"/>
      <c r="C26" s="15"/>
      <c r="D26" s="7">
        <v>641</v>
      </c>
      <c r="E26" s="7"/>
      <c r="F26" s="58" t="s">
        <v>85</v>
      </c>
      <c r="G26" s="73">
        <f>SUM(G27:G28)</f>
        <v>50706.247262592071</v>
      </c>
      <c r="H26" s="73">
        <f>SUM(H27:H28)</f>
        <v>6636</v>
      </c>
      <c r="I26" s="73">
        <f>SUM(I27:I28)</f>
        <v>6636</v>
      </c>
      <c r="J26" s="60">
        <f>SUM(J27:J28)</f>
        <v>627.62</v>
      </c>
      <c r="K26" s="65">
        <f t="shared" ref="K26:K55" si="4">J26/G26*100</f>
        <v>1.2377567536200202</v>
      </c>
      <c r="L26" s="65">
        <f t="shared" ref="L26:L55" si="5">J26/I26*100</f>
        <v>9.4578059071729967</v>
      </c>
    </row>
    <row r="27" spans="2:12" x14ac:dyDescent="0.25">
      <c r="B27" s="7"/>
      <c r="C27" s="15"/>
      <c r="D27" s="7"/>
      <c r="E27" s="7">
        <v>6413</v>
      </c>
      <c r="F27" s="58" t="s">
        <v>86</v>
      </c>
      <c r="G27" s="73">
        <f>558.18/7.5345</f>
        <v>74.083217200875964</v>
      </c>
      <c r="H27" s="73">
        <v>3318</v>
      </c>
      <c r="I27" s="73">
        <v>3318</v>
      </c>
      <c r="J27" s="60">
        <v>191.51</v>
      </c>
      <c r="K27" s="65">
        <f t="shared" si="4"/>
        <v>258.50659195958292</v>
      </c>
      <c r="L27" s="65">
        <f t="shared" si="5"/>
        <v>5.7718505123568411</v>
      </c>
    </row>
    <row r="28" spans="2:12" x14ac:dyDescent="0.25">
      <c r="B28" s="7"/>
      <c r="C28" s="15"/>
      <c r="D28" s="7"/>
      <c r="E28" s="7">
        <v>6415</v>
      </c>
      <c r="F28" s="58" t="s">
        <v>87</v>
      </c>
      <c r="G28" s="73">
        <f>381488.04/7.5345</f>
        <v>50632.164045391197</v>
      </c>
      <c r="H28" s="73">
        <v>3318</v>
      </c>
      <c r="I28" s="73">
        <v>3318</v>
      </c>
      <c r="J28" s="60">
        <v>436.11</v>
      </c>
      <c r="K28" s="65">
        <f t="shared" si="4"/>
        <v>0.86132996331942679</v>
      </c>
      <c r="L28" s="65">
        <f t="shared" si="5"/>
        <v>13.143761301989151</v>
      </c>
    </row>
    <row r="29" spans="2:12" x14ac:dyDescent="0.25">
      <c r="B29" s="7"/>
      <c r="C29" s="15">
        <v>65</v>
      </c>
      <c r="D29" s="7"/>
      <c r="E29" s="7"/>
      <c r="F29" s="58" t="s">
        <v>88</v>
      </c>
      <c r="G29" s="81">
        <f>G30</f>
        <v>3675992.7891698191</v>
      </c>
      <c r="H29" s="73">
        <f>H30</f>
        <v>4231890</v>
      </c>
      <c r="I29" s="73">
        <f>I30</f>
        <v>4231890</v>
      </c>
      <c r="J29" s="60">
        <f>J30</f>
        <v>4147101.67</v>
      </c>
      <c r="K29" s="65">
        <f t="shared" si="4"/>
        <v>112.81582712072118</v>
      </c>
      <c r="L29" s="65">
        <f t="shared" si="5"/>
        <v>97.996442960473928</v>
      </c>
    </row>
    <row r="30" spans="2:12" x14ac:dyDescent="0.25">
      <c r="B30" s="7"/>
      <c r="C30" s="15"/>
      <c r="D30" s="7">
        <v>652</v>
      </c>
      <c r="E30" s="7"/>
      <c r="F30" s="58" t="s">
        <v>89</v>
      </c>
      <c r="G30" s="73">
        <f>SUM(G31)</f>
        <v>3675992.7891698191</v>
      </c>
      <c r="H30" s="73">
        <f>SUM(H31)</f>
        <v>4231890</v>
      </c>
      <c r="I30" s="73">
        <f>SUM(I31)</f>
        <v>4231890</v>
      </c>
      <c r="J30" s="60">
        <f>SUM(J31)</f>
        <v>4147101.67</v>
      </c>
      <c r="K30" s="65">
        <f t="shared" si="4"/>
        <v>112.81582712072118</v>
      </c>
      <c r="L30" s="65">
        <f t="shared" si="5"/>
        <v>97.996442960473928</v>
      </c>
    </row>
    <row r="31" spans="2:12" x14ac:dyDescent="0.25">
      <c r="B31" s="7"/>
      <c r="C31" s="15"/>
      <c r="D31" s="7"/>
      <c r="E31" s="7">
        <v>6526</v>
      </c>
      <c r="F31" s="58" t="s">
        <v>90</v>
      </c>
      <c r="G31" s="73">
        <f>27696767.67/7.5345</f>
        <v>3675992.7891698191</v>
      </c>
      <c r="H31" s="73">
        <v>4231890</v>
      </c>
      <c r="I31" s="73">
        <v>4231890</v>
      </c>
      <c r="J31" s="60">
        <v>4147101.67</v>
      </c>
      <c r="K31" s="65">
        <f t="shared" si="4"/>
        <v>112.81582712072118</v>
      </c>
      <c r="L31" s="65">
        <f t="shared" si="5"/>
        <v>97.996442960473928</v>
      </c>
    </row>
    <row r="32" spans="2:12" x14ac:dyDescent="0.25">
      <c r="B32" s="7"/>
      <c r="C32" s="15">
        <v>66</v>
      </c>
      <c r="D32" s="8"/>
      <c r="E32" s="8"/>
      <c r="F32" s="58" t="s">
        <v>91</v>
      </c>
      <c r="G32" s="73">
        <f>SUM(G33,G36)</f>
        <v>5859120.1897936156</v>
      </c>
      <c r="H32" s="73">
        <f>SUM(H33,H36)</f>
        <v>6367582</v>
      </c>
      <c r="I32" s="73">
        <f>SUM(I33,I36)</f>
        <v>6270636</v>
      </c>
      <c r="J32" s="60">
        <f>SUM(J33,J36)</f>
        <v>6591638.7599999998</v>
      </c>
      <c r="K32" s="65">
        <f t="shared" si="4"/>
        <v>112.50219395537245</v>
      </c>
      <c r="L32" s="65">
        <f t="shared" si="5"/>
        <v>105.11914198177026</v>
      </c>
    </row>
    <row r="33" spans="2:12" x14ac:dyDescent="0.25">
      <c r="B33" s="7"/>
      <c r="C33" s="15"/>
      <c r="D33" s="8">
        <v>661</v>
      </c>
      <c r="E33" s="8"/>
      <c r="F33" s="58" t="s">
        <v>35</v>
      </c>
      <c r="G33" s="73">
        <f>SUM(G34:G35)</f>
        <v>5845392.2914592866</v>
      </c>
      <c r="H33" s="73">
        <f>SUM(H34:H35)</f>
        <v>6364059</v>
      </c>
      <c r="I33" s="73">
        <f>SUM(I34:I35)</f>
        <v>6264059</v>
      </c>
      <c r="J33" s="60">
        <f>SUM(J34:J35)</f>
        <v>6585064.1799999997</v>
      </c>
      <c r="K33" s="65">
        <f t="shared" si="4"/>
        <v>112.65393068009224</v>
      </c>
      <c r="L33" s="65">
        <f t="shared" si="5"/>
        <v>105.12455549987637</v>
      </c>
    </row>
    <row r="34" spans="2:12" x14ac:dyDescent="0.25">
      <c r="B34" s="7"/>
      <c r="C34" s="15"/>
      <c r="D34" s="8"/>
      <c r="E34" s="8">
        <v>6614</v>
      </c>
      <c r="F34" s="58" t="s">
        <v>36</v>
      </c>
      <c r="G34" s="73">
        <f>615949.68/7.5345</f>
        <v>81750.571371690225</v>
      </c>
      <c r="H34" s="73">
        <v>86270</v>
      </c>
      <c r="I34" s="73">
        <v>86270</v>
      </c>
      <c r="J34" s="60">
        <v>93674.1</v>
      </c>
      <c r="K34" s="65">
        <f t="shared" si="4"/>
        <v>114.58525418017915</v>
      </c>
      <c r="L34" s="65">
        <f t="shared" si="5"/>
        <v>108.58247362930335</v>
      </c>
    </row>
    <row r="35" spans="2:12" x14ac:dyDescent="0.25">
      <c r="B35" s="7"/>
      <c r="C35" s="15"/>
      <c r="D35" s="8"/>
      <c r="E35" s="8">
        <v>6615</v>
      </c>
      <c r="F35" s="58" t="s">
        <v>92</v>
      </c>
      <c r="G35" s="73">
        <f>43426158.54/7.5345</f>
        <v>5763641.7200875962</v>
      </c>
      <c r="H35" s="73">
        <v>6277789</v>
      </c>
      <c r="I35" s="73">
        <v>6177789</v>
      </c>
      <c r="J35" s="60">
        <v>6491390.0800000001</v>
      </c>
      <c r="K35" s="65">
        <f t="shared" si="4"/>
        <v>112.62653709678094</v>
      </c>
      <c r="L35" s="65">
        <f t="shared" si="5"/>
        <v>105.07626725354331</v>
      </c>
    </row>
    <row r="36" spans="2:12" x14ac:dyDescent="0.25">
      <c r="B36" s="7"/>
      <c r="C36" s="15"/>
      <c r="D36" s="8">
        <v>663</v>
      </c>
      <c r="E36" s="8"/>
      <c r="F36" s="58" t="s">
        <v>104</v>
      </c>
      <c r="G36" s="73">
        <f>SUM(G37:G38)</f>
        <v>13727.898334328755</v>
      </c>
      <c r="H36" s="73">
        <f>SUM(H37:H38)</f>
        <v>3523</v>
      </c>
      <c r="I36" s="73">
        <f>SUM(I37:I38)</f>
        <v>6577</v>
      </c>
      <c r="J36" s="60">
        <f>SUM(J37:J38)</f>
        <v>6574.58</v>
      </c>
      <c r="K36" s="65">
        <f t="shared" si="4"/>
        <v>47.892108754617126</v>
      </c>
      <c r="L36" s="65">
        <f t="shared" si="5"/>
        <v>99.963205108712188</v>
      </c>
    </row>
    <row r="37" spans="2:12" x14ac:dyDescent="0.25">
      <c r="B37" s="7"/>
      <c r="C37" s="15"/>
      <c r="D37" s="8"/>
      <c r="E37" s="8">
        <v>6631</v>
      </c>
      <c r="F37" s="58" t="s">
        <v>105</v>
      </c>
      <c r="G37" s="73">
        <f>50000/7.5345</f>
        <v>6636.1404207313026</v>
      </c>
      <c r="H37" s="73">
        <v>3523</v>
      </c>
      <c r="I37" s="73">
        <v>6025</v>
      </c>
      <c r="J37" s="60">
        <v>6022.66</v>
      </c>
      <c r="K37" s="65">
        <f t="shared" si="4"/>
        <v>90.755463540000008</v>
      </c>
      <c r="L37" s="65">
        <f t="shared" si="5"/>
        <v>99.961161825726137</v>
      </c>
    </row>
    <row r="38" spans="2:12" x14ac:dyDescent="0.25">
      <c r="B38" s="7"/>
      <c r="C38" s="15"/>
      <c r="D38" s="8"/>
      <c r="E38" s="8">
        <v>6632</v>
      </c>
      <c r="F38" s="58" t="s">
        <v>106</v>
      </c>
      <c r="G38" s="73">
        <f>53432.85/7.5345</f>
        <v>7091.7579135974511</v>
      </c>
      <c r="H38" s="73"/>
      <c r="I38" s="73">
        <v>552</v>
      </c>
      <c r="J38" s="60">
        <v>551.91999999999996</v>
      </c>
      <c r="K38" s="65">
        <f t="shared" si="4"/>
        <v>7.7825555627296694</v>
      </c>
      <c r="L38" s="65">
        <f t="shared" si="5"/>
        <v>99.985507246376798</v>
      </c>
    </row>
    <row r="39" spans="2:12" x14ac:dyDescent="0.25">
      <c r="B39" s="7"/>
      <c r="C39" s="15">
        <v>67</v>
      </c>
      <c r="D39" s="8"/>
      <c r="E39" s="8"/>
      <c r="F39" s="58" t="s">
        <v>93</v>
      </c>
      <c r="G39" s="73">
        <f t="shared" ref="G39:J40" si="6">SUM(G40)</f>
        <v>849425.97385360673</v>
      </c>
      <c r="H39" s="73">
        <f t="shared" si="6"/>
        <v>265446</v>
      </c>
      <c r="I39" s="73">
        <f t="shared" si="6"/>
        <v>265446</v>
      </c>
      <c r="J39" s="60">
        <f t="shared" si="6"/>
        <v>265446</v>
      </c>
      <c r="K39" s="65">
        <f t="shared" si="4"/>
        <v>31.250045109375002</v>
      </c>
      <c r="L39" s="65">
        <f t="shared" si="5"/>
        <v>100</v>
      </c>
    </row>
    <row r="40" spans="2:12" x14ac:dyDescent="0.25">
      <c r="B40" s="7"/>
      <c r="C40" s="15"/>
      <c r="D40" s="8">
        <v>671</v>
      </c>
      <c r="E40" s="8"/>
      <c r="F40" s="58" t="s">
        <v>94</v>
      </c>
      <c r="G40" s="73">
        <f t="shared" si="6"/>
        <v>849425.97385360673</v>
      </c>
      <c r="H40" s="73">
        <f t="shared" si="6"/>
        <v>265446</v>
      </c>
      <c r="I40" s="73">
        <f t="shared" si="6"/>
        <v>265446</v>
      </c>
      <c r="J40" s="60">
        <f t="shared" si="6"/>
        <v>265446</v>
      </c>
      <c r="K40" s="65">
        <f t="shared" si="4"/>
        <v>31.250045109375002</v>
      </c>
      <c r="L40" s="65">
        <f t="shared" si="5"/>
        <v>100</v>
      </c>
    </row>
    <row r="41" spans="2:12" x14ac:dyDescent="0.25">
      <c r="B41" s="7"/>
      <c r="C41" s="15"/>
      <c r="D41" s="8"/>
      <c r="E41" s="8">
        <v>6711</v>
      </c>
      <c r="F41" s="58" t="s">
        <v>95</v>
      </c>
      <c r="G41" s="73">
        <f>6400000/7.5345</f>
        <v>849425.97385360673</v>
      </c>
      <c r="H41" s="73">
        <v>265446</v>
      </c>
      <c r="I41" s="73">
        <v>265446</v>
      </c>
      <c r="J41" s="60">
        <v>265446</v>
      </c>
      <c r="K41" s="65">
        <f t="shared" si="4"/>
        <v>31.250045109375002</v>
      </c>
      <c r="L41" s="65">
        <f t="shared" si="5"/>
        <v>100</v>
      </c>
    </row>
    <row r="42" spans="2:12" x14ac:dyDescent="0.25">
      <c r="B42" s="7"/>
      <c r="C42" s="15">
        <v>68</v>
      </c>
      <c r="D42" s="8"/>
      <c r="E42" s="8"/>
      <c r="F42" s="58" t="s">
        <v>96</v>
      </c>
      <c r="G42" s="73">
        <f>SUM(G43,G45)</f>
        <v>23095.828522131527</v>
      </c>
      <c r="H42" s="73">
        <f>SUM(H43,H45)</f>
        <v>32797</v>
      </c>
      <c r="I42" s="73">
        <f>SUM(I43,I45)</f>
        <v>32797</v>
      </c>
      <c r="J42" s="60">
        <f>SUM(J43,J45)</f>
        <v>16312.77</v>
      </c>
      <c r="K42" s="65">
        <f t="shared" si="4"/>
        <v>70.630806703333135</v>
      </c>
      <c r="L42" s="65">
        <f t="shared" si="5"/>
        <v>49.73860414062262</v>
      </c>
    </row>
    <row r="43" spans="2:12" x14ac:dyDescent="0.25">
      <c r="B43" s="7"/>
      <c r="C43" s="15"/>
      <c r="D43" s="8">
        <v>681</v>
      </c>
      <c r="E43" s="8"/>
      <c r="F43" s="58" t="s">
        <v>97</v>
      </c>
      <c r="G43" s="73">
        <f>SUM(G44)</f>
        <v>10352.379056340831</v>
      </c>
      <c r="H43" s="73">
        <f>SUM(H44)</f>
        <v>13272</v>
      </c>
      <c r="I43" s="73">
        <f>SUM(I44)</f>
        <v>13272</v>
      </c>
      <c r="J43" s="60">
        <f>SUM(J44)</f>
        <v>3919.74</v>
      </c>
      <c r="K43" s="65">
        <f t="shared" si="4"/>
        <v>37.863180807692309</v>
      </c>
      <c r="L43" s="65">
        <f t="shared" si="5"/>
        <v>29.53390596745027</v>
      </c>
    </row>
    <row r="44" spans="2:12" x14ac:dyDescent="0.25">
      <c r="B44" s="7"/>
      <c r="C44" s="15"/>
      <c r="D44" s="8"/>
      <c r="E44" s="8">
        <v>6819</v>
      </c>
      <c r="F44" s="58" t="s">
        <v>98</v>
      </c>
      <c r="G44" s="73">
        <f>78000/7.5345</f>
        <v>10352.379056340831</v>
      </c>
      <c r="H44" s="73">
        <v>13272</v>
      </c>
      <c r="I44" s="73">
        <v>13272</v>
      </c>
      <c r="J44" s="60">
        <v>3919.74</v>
      </c>
      <c r="K44" s="65">
        <f t="shared" si="4"/>
        <v>37.863180807692309</v>
      </c>
      <c r="L44" s="65">
        <f t="shared" si="5"/>
        <v>29.53390596745027</v>
      </c>
    </row>
    <row r="45" spans="2:12" x14ac:dyDescent="0.25">
      <c r="B45" s="7"/>
      <c r="C45" s="15"/>
      <c r="D45" s="8">
        <v>683</v>
      </c>
      <c r="E45" s="8"/>
      <c r="F45" s="58" t="s">
        <v>99</v>
      </c>
      <c r="G45" s="73">
        <f>SUM(G46)</f>
        <v>12743.449465790696</v>
      </c>
      <c r="H45" s="73">
        <f>SUM(H46)</f>
        <v>19525</v>
      </c>
      <c r="I45" s="73">
        <f>SUM(I46)</f>
        <v>19525</v>
      </c>
      <c r="J45" s="60">
        <f>SUM(J46)</f>
        <v>12393.03</v>
      </c>
      <c r="K45" s="65">
        <f t="shared" si="4"/>
        <v>97.250199275075531</v>
      </c>
      <c r="L45" s="65">
        <f t="shared" si="5"/>
        <v>63.472624839948786</v>
      </c>
    </row>
    <row r="46" spans="2:12" x14ac:dyDescent="0.25">
      <c r="B46" s="7"/>
      <c r="C46" s="15"/>
      <c r="D46" s="8"/>
      <c r="E46" s="8">
        <v>6831</v>
      </c>
      <c r="F46" s="58" t="s">
        <v>99</v>
      </c>
      <c r="G46" s="73">
        <f>96015.52/7.5345</f>
        <v>12743.449465790696</v>
      </c>
      <c r="H46" s="73">
        <v>19525</v>
      </c>
      <c r="I46" s="73">
        <v>19525</v>
      </c>
      <c r="J46" s="60">
        <v>12393.03</v>
      </c>
      <c r="K46" s="65">
        <f t="shared" si="4"/>
        <v>97.250199275075531</v>
      </c>
      <c r="L46" s="65">
        <f t="shared" si="5"/>
        <v>63.472624839948786</v>
      </c>
    </row>
    <row r="47" spans="2:12" x14ac:dyDescent="0.25">
      <c r="B47" s="15">
        <v>7</v>
      </c>
      <c r="C47" s="7"/>
      <c r="D47" s="8"/>
      <c r="E47" s="8"/>
      <c r="F47" s="58" t="s">
        <v>26</v>
      </c>
      <c r="G47" s="77">
        <f>SUM(G48)</f>
        <v>70540.260136704484</v>
      </c>
      <c r="H47" s="77">
        <f>SUM(H48)</f>
        <v>92906</v>
      </c>
      <c r="I47" s="77">
        <f>SUM(I48)</f>
        <v>92906</v>
      </c>
      <c r="J47" s="62">
        <f>SUM(J48)</f>
        <v>11820.06</v>
      </c>
      <c r="K47" s="65">
        <f t="shared" si="4"/>
        <v>16.756473504766142</v>
      </c>
      <c r="L47" s="65">
        <f t="shared" si="5"/>
        <v>12.722601338987793</v>
      </c>
    </row>
    <row r="48" spans="2:12" ht="16.5" customHeight="1" x14ac:dyDescent="0.25">
      <c r="B48" s="7"/>
      <c r="C48" s="15">
        <v>72</v>
      </c>
      <c r="D48" s="8"/>
      <c r="E48" s="8"/>
      <c r="F48" s="58" t="s">
        <v>27</v>
      </c>
      <c r="G48" s="73">
        <f>SUM(G49,G51,G54)</f>
        <v>70540.260136704484</v>
      </c>
      <c r="H48" s="73">
        <f>SUM(H49,H51,H54)</f>
        <v>92906</v>
      </c>
      <c r="I48" s="73">
        <f>SUM(I49,I51,I54)</f>
        <v>92906</v>
      </c>
      <c r="J48" s="60">
        <f>SUM(J49,J51,J54)</f>
        <v>11820.06</v>
      </c>
      <c r="K48" s="65">
        <f t="shared" si="4"/>
        <v>16.756473504766142</v>
      </c>
      <c r="L48" s="65">
        <f t="shared" si="5"/>
        <v>12.722601338987793</v>
      </c>
    </row>
    <row r="49" spans="2:12" ht="17.25" hidden="1" customHeight="1" x14ac:dyDescent="0.25">
      <c r="B49" s="7"/>
      <c r="C49" s="7"/>
      <c r="D49" s="8">
        <v>722</v>
      </c>
      <c r="E49" s="8"/>
      <c r="F49" s="58" t="s">
        <v>108</v>
      </c>
      <c r="G49" s="73">
        <f>SUM(G50)</f>
        <v>0</v>
      </c>
      <c r="H49" s="73">
        <f>SUM(H50)</f>
        <v>0</v>
      </c>
      <c r="I49" s="73">
        <f>SUM(I50)</f>
        <v>1180</v>
      </c>
      <c r="J49" s="60">
        <f>SUM(J50)</f>
        <v>1180</v>
      </c>
      <c r="K49" s="65" t="e">
        <f t="shared" si="4"/>
        <v>#DIV/0!</v>
      </c>
      <c r="L49" s="65">
        <f t="shared" si="5"/>
        <v>100</v>
      </c>
    </row>
    <row r="50" spans="2:12" ht="15.75" hidden="1" customHeight="1" x14ac:dyDescent="0.25">
      <c r="B50" s="7"/>
      <c r="C50" s="7"/>
      <c r="D50" s="8"/>
      <c r="E50" s="8">
        <v>7227</v>
      </c>
      <c r="F50" s="59" t="s">
        <v>109</v>
      </c>
      <c r="G50" s="73"/>
      <c r="H50" s="73"/>
      <c r="I50" s="73">
        <v>1180</v>
      </c>
      <c r="J50" s="60">
        <v>1180</v>
      </c>
      <c r="K50" s="65" t="e">
        <f t="shared" si="4"/>
        <v>#DIV/0!</v>
      </c>
      <c r="L50" s="65">
        <f t="shared" si="5"/>
        <v>100</v>
      </c>
    </row>
    <row r="51" spans="2:12" hidden="1" x14ac:dyDescent="0.25">
      <c r="B51" s="7"/>
      <c r="C51" s="7"/>
      <c r="D51" s="7">
        <v>723</v>
      </c>
      <c r="E51" s="7"/>
      <c r="F51" s="27" t="s">
        <v>100</v>
      </c>
      <c r="G51" s="73">
        <f>SUM(G52)</f>
        <v>64370.562081093631</v>
      </c>
      <c r="H51" s="73">
        <f>SUM(H52:H53)</f>
        <v>66361</v>
      </c>
      <c r="I51" s="73">
        <f>SUM(I52:I53)</f>
        <v>66361</v>
      </c>
      <c r="J51" s="60">
        <f>SUM(J52)</f>
        <v>0</v>
      </c>
      <c r="K51" s="65">
        <f t="shared" si="4"/>
        <v>0</v>
      </c>
      <c r="L51" s="65">
        <f t="shared" si="5"/>
        <v>0</v>
      </c>
    </row>
    <row r="52" spans="2:12" hidden="1" x14ac:dyDescent="0.25">
      <c r="B52" s="7"/>
      <c r="C52" s="7"/>
      <c r="D52" s="7"/>
      <c r="E52" s="7">
        <v>7231</v>
      </c>
      <c r="F52" s="27" t="s">
        <v>101</v>
      </c>
      <c r="G52" s="73">
        <f>485000/7.5345</f>
        <v>64370.562081093631</v>
      </c>
      <c r="H52" s="73">
        <v>6636</v>
      </c>
      <c r="I52" s="73">
        <v>6636</v>
      </c>
      <c r="J52" s="60">
        <v>0</v>
      </c>
      <c r="K52" s="65">
        <f t="shared" si="4"/>
        <v>0</v>
      </c>
      <c r="L52" s="65">
        <f t="shared" si="5"/>
        <v>0</v>
      </c>
    </row>
    <row r="53" spans="2:12" hidden="1" x14ac:dyDescent="0.25">
      <c r="B53" s="7"/>
      <c r="C53" s="7"/>
      <c r="D53" s="7"/>
      <c r="E53" s="7">
        <v>7233</v>
      </c>
      <c r="F53" s="27" t="s">
        <v>107</v>
      </c>
      <c r="G53" s="73"/>
      <c r="H53" s="73">
        <v>59725</v>
      </c>
      <c r="I53" s="73">
        <v>59725</v>
      </c>
      <c r="J53" s="60">
        <v>0</v>
      </c>
      <c r="K53" s="65" t="e">
        <f t="shared" si="4"/>
        <v>#DIV/0!</v>
      </c>
      <c r="L53" s="65">
        <f t="shared" si="5"/>
        <v>0</v>
      </c>
    </row>
    <row r="54" spans="2:12" hidden="1" x14ac:dyDescent="0.25">
      <c r="B54" s="7"/>
      <c r="C54" s="7"/>
      <c r="D54" s="7">
        <v>725</v>
      </c>
      <c r="E54" s="7"/>
      <c r="F54" s="27" t="s">
        <v>102</v>
      </c>
      <c r="G54" s="73">
        <f>SUM(G55)</f>
        <v>6169.6980556108556</v>
      </c>
      <c r="H54" s="73">
        <f>SUM(H55)</f>
        <v>26545</v>
      </c>
      <c r="I54" s="73">
        <f>SUM(I55)</f>
        <v>25365</v>
      </c>
      <c r="J54" s="60">
        <f>SUM(J55)</f>
        <v>10640.06</v>
      </c>
      <c r="K54" s="65">
        <f t="shared" si="4"/>
        <v>172.45673781918228</v>
      </c>
      <c r="L54" s="65">
        <f t="shared" si="5"/>
        <v>41.947802089493393</v>
      </c>
    </row>
    <row r="55" spans="2:12" hidden="1" x14ac:dyDescent="0.25">
      <c r="B55" s="7"/>
      <c r="C55" s="7"/>
      <c r="D55" s="7"/>
      <c r="E55" s="7">
        <v>7252</v>
      </c>
      <c r="F55" s="27" t="s">
        <v>103</v>
      </c>
      <c r="G55" s="73">
        <f>46485.59/7.5345</f>
        <v>6169.6980556108556</v>
      </c>
      <c r="H55" s="73">
        <v>26545</v>
      </c>
      <c r="I55" s="73">
        <v>25365</v>
      </c>
      <c r="J55" s="60">
        <v>10640.06</v>
      </c>
      <c r="K55" s="65">
        <f t="shared" si="4"/>
        <v>172.45673781918228</v>
      </c>
      <c r="L55" s="65">
        <f t="shared" si="5"/>
        <v>41.947802089493393</v>
      </c>
    </row>
    <row r="56" spans="2:12" ht="18" hidden="1" x14ac:dyDescent="0.25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</row>
    <row r="57" spans="2:12" ht="36.75" customHeight="1" x14ac:dyDescent="0.25">
      <c r="B57" s="111" t="s">
        <v>7</v>
      </c>
      <c r="C57" s="112"/>
      <c r="D57" s="112"/>
      <c r="E57" s="112"/>
      <c r="F57" s="113"/>
      <c r="G57" s="33" t="s">
        <v>204</v>
      </c>
      <c r="H57" s="33" t="s">
        <v>60</v>
      </c>
      <c r="I57" s="33" t="s">
        <v>60</v>
      </c>
      <c r="J57" s="33" t="s">
        <v>205</v>
      </c>
      <c r="K57" s="33" t="s">
        <v>28</v>
      </c>
      <c r="L57" s="33" t="s">
        <v>58</v>
      </c>
    </row>
    <row r="58" spans="2:12" x14ac:dyDescent="0.25">
      <c r="B58" s="114">
        <v>1</v>
      </c>
      <c r="C58" s="115"/>
      <c r="D58" s="115"/>
      <c r="E58" s="115"/>
      <c r="F58" s="116"/>
      <c r="G58" s="35">
        <v>2</v>
      </c>
      <c r="H58" s="35">
        <v>3</v>
      </c>
      <c r="I58" s="35">
        <v>3</v>
      </c>
      <c r="J58" s="35">
        <v>4</v>
      </c>
      <c r="K58" s="35" t="s">
        <v>212</v>
      </c>
      <c r="L58" s="35" t="s">
        <v>213</v>
      </c>
    </row>
    <row r="59" spans="2:12" x14ac:dyDescent="0.25">
      <c r="B59" s="6"/>
      <c r="C59" s="6"/>
      <c r="D59" s="6"/>
      <c r="E59" s="6"/>
      <c r="F59" s="6" t="s">
        <v>55</v>
      </c>
      <c r="G59" s="76">
        <f>SUM(G60,G121)</f>
        <v>9564282.0080960914</v>
      </c>
      <c r="H59" s="76">
        <f>SUM(H60,H121)</f>
        <v>11331347</v>
      </c>
      <c r="I59" s="76">
        <f>SUM(I60,I121)</f>
        <v>11331347</v>
      </c>
      <c r="J59" s="76">
        <f>SUM(J60,J121)</f>
        <v>11326833.039999997</v>
      </c>
      <c r="K59" s="65">
        <f>J59/G59*100</f>
        <v>118.42847200042743</v>
      </c>
      <c r="L59" s="65">
        <f>J59/I59*100</f>
        <v>99.96016395932449</v>
      </c>
    </row>
    <row r="60" spans="2:12" x14ac:dyDescent="0.25">
      <c r="B60" s="6">
        <v>3</v>
      </c>
      <c r="C60" s="6"/>
      <c r="D60" s="6"/>
      <c r="E60" s="6"/>
      <c r="F60" s="6" t="s">
        <v>4</v>
      </c>
      <c r="G60" s="76">
        <f>SUM(G61,G70,G103,G112,G115,G118)</f>
        <v>8970804.2962373085</v>
      </c>
      <c r="H60" s="76">
        <f>SUM(H61,H70,H103,H112,H115,H118)</f>
        <v>10497918</v>
      </c>
      <c r="I60" s="76">
        <f>SUM(I61,I70,I103,I112,I115,I118)</f>
        <v>10625089</v>
      </c>
      <c r="J60" s="76">
        <f>SUM(J61,J70,J103,J112,J115,J118)</f>
        <v>10938347.729999997</v>
      </c>
      <c r="K60" s="65">
        <f t="shared" ref="K60:K125" si="7">J60/G60*100</f>
        <v>121.93274280420931</v>
      </c>
      <c r="L60" s="65">
        <f t="shared" ref="L60:L125" si="8">J60/I60*100</f>
        <v>102.9482927625359</v>
      </c>
    </row>
    <row r="61" spans="2:12" x14ac:dyDescent="0.25">
      <c r="B61" s="6"/>
      <c r="C61" s="6">
        <v>31</v>
      </c>
      <c r="D61" s="10"/>
      <c r="E61" s="10"/>
      <c r="F61" s="10" t="s">
        <v>5</v>
      </c>
      <c r="G61" s="73">
        <f>SUM(G62,G65,G67)</f>
        <v>4423915.2286150381</v>
      </c>
      <c r="H61" s="73">
        <f t="shared" ref="H61:J61" si="9">SUM(H62,H65,H67)</f>
        <v>4233856</v>
      </c>
      <c r="I61" s="73">
        <f t="shared" si="9"/>
        <v>4812900</v>
      </c>
      <c r="J61" s="73">
        <f t="shared" si="9"/>
        <v>5870752.8299999991</v>
      </c>
      <c r="K61" s="65">
        <f t="shared" si="7"/>
        <v>132.70491242749043</v>
      </c>
      <c r="L61" s="65">
        <f t="shared" si="8"/>
        <v>121.97953063641462</v>
      </c>
    </row>
    <row r="62" spans="2:12" x14ac:dyDescent="0.25">
      <c r="B62" s="7"/>
      <c r="C62" s="7"/>
      <c r="D62" s="7">
        <v>311</v>
      </c>
      <c r="E62" s="7"/>
      <c r="F62" s="7" t="s">
        <v>37</v>
      </c>
      <c r="G62" s="73">
        <f>SUM(G63:G64)</f>
        <v>3510389.840069016</v>
      </c>
      <c r="H62" s="73">
        <f t="shared" ref="H62:J62" si="10">SUM(H63:H64)</f>
        <v>3391067</v>
      </c>
      <c r="I62" s="73">
        <f t="shared" si="10"/>
        <v>3845400</v>
      </c>
      <c r="J62" s="73">
        <f t="shared" si="10"/>
        <v>4572134.4799999995</v>
      </c>
      <c r="K62" s="65">
        <f t="shared" si="7"/>
        <v>130.24577577714584</v>
      </c>
      <c r="L62" s="65">
        <f t="shared" si="8"/>
        <v>118.8988006449264</v>
      </c>
    </row>
    <row r="63" spans="2:12" x14ac:dyDescent="0.25">
      <c r="B63" s="7"/>
      <c r="C63" s="7"/>
      <c r="D63" s="7"/>
      <c r="E63" s="7">
        <v>3111</v>
      </c>
      <c r="F63" s="7" t="s">
        <v>38</v>
      </c>
      <c r="G63" s="73">
        <f>25982819.17/7.5345</f>
        <v>3448512.7307717833</v>
      </c>
      <c r="H63" s="73">
        <v>3331342</v>
      </c>
      <c r="I63" s="73">
        <v>3755400</v>
      </c>
      <c r="J63" s="65">
        <v>4472402.47</v>
      </c>
      <c r="K63" s="65">
        <f t="shared" si="7"/>
        <v>129.69076292199358</v>
      </c>
      <c r="L63" s="65">
        <f t="shared" si="8"/>
        <v>119.09257256217714</v>
      </c>
    </row>
    <row r="64" spans="2:12" x14ac:dyDescent="0.25">
      <c r="B64" s="7"/>
      <c r="C64" s="7"/>
      <c r="D64" s="7"/>
      <c r="E64" s="7">
        <v>3113</v>
      </c>
      <c r="F64" s="58" t="s">
        <v>110</v>
      </c>
      <c r="G64" s="73">
        <f>466213.08/7.5345</f>
        <v>61877.109297232731</v>
      </c>
      <c r="H64" s="73">
        <v>59725</v>
      </c>
      <c r="I64" s="73">
        <v>90000</v>
      </c>
      <c r="J64" s="65">
        <v>99732.01</v>
      </c>
      <c r="K64" s="65">
        <f t="shared" si="7"/>
        <v>161.17755197794963</v>
      </c>
      <c r="L64" s="65">
        <f t="shared" si="8"/>
        <v>110.81334444444444</v>
      </c>
    </row>
    <row r="65" spans="2:12" x14ac:dyDescent="0.25">
      <c r="B65" s="7"/>
      <c r="C65" s="7"/>
      <c r="D65" s="7">
        <v>312</v>
      </c>
      <c r="E65" s="7"/>
      <c r="F65" s="58" t="s">
        <v>111</v>
      </c>
      <c r="G65" s="73">
        <f>SUM(G66)</f>
        <v>390953.16344813851</v>
      </c>
      <c r="H65" s="73">
        <f t="shared" ref="H65:J65" si="11">SUM(H66)</f>
        <v>331807</v>
      </c>
      <c r="I65" s="73">
        <f t="shared" si="11"/>
        <v>372000</v>
      </c>
      <c r="J65" s="73">
        <f t="shared" si="11"/>
        <v>540656.38</v>
      </c>
      <c r="K65" s="65">
        <f t="shared" si="7"/>
        <v>138.29185451052635</v>
      </c>
      <c r="L65" s="65">
        <f t="shared" si="8"/>
        <v>145.33773655913978</v>
      </c>
    </row>
    <row r="66" spans="2:12" x14ac:dyDescent="0.25">
      <c r="B66" s="7"/>
      <c r="C66" s="7"/>
      <c r="D66" s="7"/>
      <c r="E66" s="7">
        <v>3121</v>
      </c>
      <c r="F66" s="58" t="s">
        <v>111</v>
      </c>
      <c r="G66" s="73">
        <f>2945636.61/7.5345</f>
        <v>390953.16344813851</v>
      </c>
      <c r="H66" s="73">
        <v>331807</v>
      </c>
      <c r="I66" s="73">
        <v>372000</v>
      </c>
      <c r="J66" s="65">
        <v>540656.38</v>
      </c>
      <c r="K66" s="65">
        <f t="shared" si="7"/>
        <v>138.29185451052635</v>
      </c>
      <c r="L66" s="65">
        <f t="shared" si="8"/>
        <v>145.33773655913978</v>
      </c>
    </row>
    <row r="67" spans="2:12" x14ac:dyDescent="0.25">
      <c r="B67" s="7"/>
      <c r="C67" s="7"/>
      <c r="D67" s="7">
        <v>313</v>
      </c>
      <c r="E67" s="7"/>
      <c r="F67" s="58" t="s">
        <v>112</v>
      </c>
      <c r="G67" s="73">
        <f>SUM(G68:G69)</f>
        <v>522572.22509788309</v>
      </c>
      <c r="H67" s="73">
        <f t="shared" ref="H67:J67" si="12">SUM(H68:H69)</f>
        <v>510982</v>
      </c>
      <c r="I67" s="73">
        <f t="shared" si="12"/>
        <v>595500</v>
      </c>
      <c r="J67" s="73">
        <f t="shared" si="12"/>
        <v>757961.97</v>
      </c>
      <c r="K67" s="65">
        <f t="shared" si="7"/>
        <v>145.04444239416398</v>
      </c>
      <c r="L67" s="65">
        <f t="shared" si="8"/>
        <v>127.28160705289673</v>
      </c>
    </row>
    <row r="68" spans="2:12" x14ac:dyDescent="0.25">
      <c r="B68" s="7"/>
      <c r="C68" s="7"/>
      <c r="D68" s="7"/>
      <c r="E68" s="7">
        <v>3131</v>
      </c>
      <c r="F68" s="58" t="s">
        <v>113</v>
      </c>
      <c r="G68" s="73">
        <f>152404.6/7.5345</f>
        <v>20227.566527307717</v>
      </c>
      <c r="H68" s="73">
        <v>19908</v>
      </c>
      <c r="I68" s="73">
        <v>45500</v>
      </c>
      <c r="J68" s="65">
        <v>49133.4</v>
      </c>
      <c r="K68" s="65">
        <f t="shared" si="7"/>
        <v>242.90316847391748</v>
      </c>
      <c r="L68" s="65">
        <f t="shared" si="8"/>
        <v>107.9854945054945</v>
      </c>
    </row>
    <row r="69" spans="2:12" x14ac:dyDescent="0.25">
      <c r="B69" s="7"/>
      <c r="C69" s="7"/>
      <c r="D69" s="7"/>
      <c r="E69" s="7">
        <v>3132</v>
      </c>
      <c r="F69" s="58" t="s">
        <v>114</v>
      </c>
      <c r="G69" s="73">
        <f>3784915.83/7.5345</f>
        <v>502344.65857057535</v>
      </c>
      <c r="H69" s="73">
        <v>491074</v>
      </c>
      <c r="I69" s="73">
        <v>550000</v>
      </c>
      <c r="J69" s="65">
        <v>708828.57</v>
      </c>
      <c r="K69" s="65">
        <f t="shared" si="7"/>
        <v>141.10403244198432</v>
      </c>
      <c r="L69" s="65">
        <f t="shared" si="8"/>
        <v>128.87792181818182</v>
      </c>
    </row>
    <row r="70" spans="2:12" x14ac:dyDescent="0.25">
      <c r="B70" s="7"/>
      <c r="C70" s="15">
        <v>32</v>
      </c>
      <c r="D70" s="8"/>
      <c r="E70" s="8"/>
      <c r="F70" s="7" t="s">
        <v>12</v>
      </c>
      <c r="G70" s="73">
        <f>SUM(G71,G76,G83,G93,G95)</f>
        <v>4423700.9277324313</v>
      </c>
      <c r="H70" s="73">
        <f t="shared" ref="H70:J70" si="13">SUM(H71,H76,H83,H93,H95)</f>
        <v>6124037</v>
      </c>
      <c r="I70" s="73">
        <f t="shared" si="13"/>
        <v>5672164</v>
      </c>
      <c r="J70" s="73">
        <f t="shared" si="13"/>
        <v>4885158.97</v>
      </c>
      <c r="K70" s="65">
        <f t="shared" si="7"/>
        <v>110.4314927660381</v>
      </c>
      <c r="L70" s="65">
        <f t="shared" si="8"/>
        <v>86.125136191407719</v>
      </c>
    </row>
    <row r="71" spans="2:12" x14ac:dyDescent="0.25">
      <c r="B71" s="7"/>
      <c r="C71" s="7"/>
      <c r="D71" s="7">
        <v>321</v>
      </c>
      <c r="E71" s="7"/>
      <c r="F71" s="7" t="s">
        <v>39</v>
      </c>
      <c r="G71" s="73">
        <f>SUM(G72:G75)</f>
        <v>216809.54940606543</v>
      </c>
      <c r="H71" s="73">
        <f t="shared" ref="H71:J71" si="14">SUM(H72:H75)</f>
        <v>175898</v>
      </c>
      <c r="I71" s="73">
        <f t="shared" si="14"/>
        <v>198511</v>
      </c>
      <c r="J71" s="73">
        <f t="shared" si="14"/>
        <v>213567.12</v>
      </c>
      <c r="K71" s="65">
        <f t="shared" si="7"/>
        <v>98.504480353864551</v>
      </c>
      <c r="L71" s="65">
        <f t="shared" si="8"/>
        <v>107.5845268020412</v>
      </c>
    </row>
    <row r="72" spans="2:12" x14ac:dyDescent="0.25">
      <c r="B72" s="7"/>
      <c r="C72" s="15"/>
      <c r="D72" s="7"/>
      <c r="E72" s="7">
        <v>3211</v>
      </c>
      <c r="F72" s="21" t="s">
        <v>40</v>
      </c>
      <c r="G72" s="73">
        <f>256689.24/7.5345</f>
        <v>34068.516822615966</v>
      </c>
      <c r="H72" s="73">
        <v>26411</v>
      </c>
      <c r="I72" s="73">
        <v>26411</v>
      </c>
      <c r="J72" s="65">
        <v>26749.88</v>
      </c>
      <c r="K72" s="65">
        <f t="shared" si="7"/>
        <v>78.517888346235324</v>
      </c>
      <c r="L72" s="65">
        <f t="shared" si="8"/>
        <v>101.28310173791223</v>
      </c>
    </row>
    <row r="73" spans="2:12" x14ac:dyDescent="0.25">
      <c r="B73" s="7"/>
      <c r="C73" s="15"/>
      <c r="D73" s="7"/>
      <c r="E73" s="7">
        <v>3212</v>
      </c>
      <c r="F73" s="58" t="s">
        <v>115</v>
      </c>
      <c r="G73" s="73">
        <f>1190954.78/7.5345</f>
        <v>158066.86309642313</v>
      </c>
      <c r="H73" s="73">
        <v>132723</v>
      </c>
      <c r="I73" s="73">
        <v>155000</v>
      </c>
      <c r="J73" s="65">
        <v>171341.24</v>
      </c>
      <c r="K73" s="65">
        <f t="shared" si="7"/>
        <v>108.39795048977425</v>
      </c>
      <c r="L73" s="65">
        <f t="shared" si="8"/>
        <v>110.54273548387097</v>
      </c>
    </row>
    <row r="74" spans="2:12" x14ac:dyDescent="0.25">
      <c r="B74" s="7"/>
      <c r="C74" s="15"/>
      <c r="D74" s="7"/>
      <c r="E74" s="7">
        <v>3213</v>
      </c>
      <c r="F74" s="58" t="s">
        <v>116</v>
      </c>
      <c r="G74" s="73">
        <f>185907.53/7.5345</f>
        <v>24674.169487026345</v>
      </c>
      <c r="H74" s="73">
        <v>16100</v>
      </c>
      <c r="I74" s="73">
        <v>16100</v>
      </c>
      <c r="J74" s="65">
        <v>14744.88</v>
      </c>
      <c r="K74" s="65">
        <f t="shared" si="7"/>
        <v>59.758363935016511</v>
      </c>
      <c r="L74" s="65">
        <f t="shared" si="8"/>
        <v>91.583105590062104</v>
      </c>
    </row>
    <row r="75" spans="2:12" x14ac:dyDescent="0.25">
      <c r="B75" s="7"/>
      <c r="C75" s="15"/>
      <c r="D75" s="7"/>
      <c r="E75" s="7">
        <v>3214</v>
      </c>
      <c r="F75" s="58" t="s">
        <v>117</v>
      </c>
      <c r="G75" s="73"/>
      <c r="H75" s="73">
        <v>664</v>
      </c>
      <c r="I75" s="73">
        <v>1000</v>
      </c>
      <c r="J75" s="65">
        <v>731.12</v>
      </c>
      <c r="K75" s="65"/>
      <c r="L75" s="65">
        <f t="shared" si="8"/>
        <v>73.111999999999995</v>
      </c>
    </row>
    <row r="76" spans="2:12" x14ac:dyDescent="0.25">
      <c r="B76" s="7"/>
      <c r="C76" s="15"/>
      <c r="D76" s="7">
        <v>322</v>
      </c>
      <c r="E76" s="7"/>
      <c r="F76" s="58" t="s">
        <v>118</v>
      </c>
      <c r="G76" s="73">
        <f>SUM(G77:G82)</f>
        <v>1894878.7112615302</v>
      </c>
      <c r="H76" s="73">
        <f t="shared" ref="H76:J76" si="15">SUM(H77:H82)</f>
        <v>2378016</v>
      </c>
      <c r="I76" s="73">
        <f t="shared" si="15"/>
        <v>2117685</v>
      </c>
      <c r="J76" s="73">
        <f t="shared" si="15"/>
        <v>1997276.58</v>
      </c>
      <c r="K76" s="65">
        <f t="shared" si="7"/>
        <v>105.40392734004055</v>
      </c>
      <c r="L76" s="65">
        <f t="shared" si="8"/>
        <v>94.314148704835716</v>
      </c>
    </row>
    <row r="77" spans="2:12" x14ac:dyDescent="0.25">
      <c r="B77" s="7"/>
      <c r="C77" s="15"/>
      <c r="D77" s="7"/>
      <c r="E77" s="7">
        <v>3221</v>
      </c>
      <c r="F77" s="58" t="s">
        <v>119</v>
      </c>
      <c r="G77" s="73">
        <f>1194981.8/7.5345</f>
        <v>158601.34050036498</v>
      </c>
      <c r="H77" s="73">
        <v>207632</v>
      </c>
      <c r="I77" s="73">
        <v>196209</v>
      </c>
      <c r="J77" s="65">
        <v>183582.49</v>
      </c>
      <c r="K77" s="65">
        <f t="shared" si="7"/>
        <v>115.75090690962824</v>
      </c>
      <c r="L77" s="65">
        <f t="shared" si="8"/>
        <v>93.56476512290466</v>
      </c>
    </row>
    <row r="78" spans="2:12" x14ac:dyDescent="0.25">
      <c r="B78" s="7"/>
      <c r="C78" s="15"/>
      <c r="D78" s="7"/>
      <c r="E78" s="7">
        <v>3222</v>
      </c>
      <c r="F78" s="58" t="s">
        <v>120</v>
      </c>
      <c r="G78" s="73">
        <f>4844447.54/7.5345</f>
        <v>642968.6827261264</v>
      </c>
      <c r="H78" s="73">
        <v>735019</v>
      </c>
      <c r="I78" s="73">
        <v>723074</v>
      </c>
      <c r="J78" s="65">
        <v>824242.23</v>
      </c>
      <c r="K78" s="65">
        <f t="shared" si="7"/>
        <v>128.19321564858973</v>
      </c>
      <c r="L78" s="65">
        <f t="shared" si="8"/>
        <v>113.99140751845593</v>
      </c>
    </row>
    <row r="79" spans="2:12" x14ac:dyDescent="0.25">
      <c r="B79" s="7"/>
      <c r="C79" s="15"/>
      <c r="D79" s="7"/>
      <c r="E79" s="7">
        <v>3223</v>
      </c>
      <c r="F79" s="58" t="s">
        <v>121</v>
      </c>
      <c r="G79" s="73">
        <f>5597997.59/7.5345</f>
        <v>742981.96164310828</v>
      </c>
      <c r="H79" s="73">
        <v>844117</v>
      </c>
      <c r="I79" s="73">
        <v>594117</v>
      </c>
      <c r="J79" s="65">
        <v>639565.74</v>
      </c>
      <c r="K79" s="65">
        <f t="shared" si="7"/>
        <v>86.080924304756635</v>
      </c>
      <c r="L79" s="65">
        <f t="shared" si="8"/>
        <v>107.64979625225335</v>
      </c>
    </row>
    <row r="80" spans="2:12" x14ac:dyDescent="0.25">
      <c r="B80" s="7"/>
      <c r="C80" s="15"/>
      <c r="D80" s="7"/>
      <c r="E80" s="7">
        <v>3224</v>
      </c>
      <c r="F80" s="58" t="s">
        <v>122</v>
      </c>
      <c r="G80" s="73">
        <f>1683283.83/7.5345</f>
        <v>223410.15727652796</v>
      </c>
      <c r="H80" s="73">
        <v>387998</v>
      </c>
      <c r="I80" s="73">
        <v>401035</v>
      </c>
      <c r="J80" s="65">
        <v>189576.45</v>
      </c>
      <c r="K80" s="65">
        <f t="shared" si="7"/>
        <v>84.855788255567106</v>
      </c>
      <c r="L80" s="65">
        <f t="shared" si="8"/>
        <v>47.271796725971548</v>
      </c>
    </row>
    <row r="81" spans="2:12" x14ac:dyDescent="0.25">
      <c r="B81" s="7"/>
      <c r="C81" s="15"/>
      <c r="D81" s="7"/>
      <c r="E81" s="7">
        <v>3225</v>
      </c>
      <c r="F81" s="58" t="s">
        <v>123</v>
      </c>
      <c r="G81" s="73">
        <f>506118.18/7.5345</f>
        <v>67173.426239299224</v>
      </c>
      <c r="H81" s="73">
        <v>119027</v>
      </c>
      <c r="I81" s="73">
        <v>119027</v>
      </c>
      <c r="J81" s="65">
        <v>79454.59</v>
      </c>
      <c r="K81" s="65">
        <f t="shared" si="7"/>
        <v>118.28277110199834</v>
      </c>
      <c r="L81" s="65">
        <f t="shared" si="8"/>
        <v>66.753417291874953</v>
      </c>
    </row>
    <row r="82" spans="2:12" x14ac:dyDescent="0.25">
      <c r="B82" s="7"/>
      <c r="C82" s="15"/>
      <c r="D82" s="7"/>
      <c r="E82" s="7">
        <v>3227</v>
      </c>
      <c r="F82" s="58" t="s">
        <v>124</v>
      </c>
      <c r="G82" s="73">
        <f>450134.71/7.5345</f>
        <v>59743.142876103258</v>
      </c>
      <c r="H82" s="73">
        <v>84223</v>
      </c>
      <c r="I82" s="73">
        <v>84223</v>
      </c>
      <c r="J82" s="65">
        <v>80855.08</v>
      </c>
      <c r="K82" s="65">
        <f t="shared" si="7"/>
        <v>135.33784147860982</v>
      </c>
      <c r="L82" s="65">
        <f t="shared" si="8"/>
        <v>96.001187324127613</v>
      </c>
    </row>
    <row r="83" spans="2:12" x14ac:dyDescent="0.25">
      <c r="B83" s="7"/>
      <c r="C83" s="15"/>
      <c r="D83" s="7">
        <v>323</v>
      </c>
      <c r="E83" s="7"/>
      <c r="F83" s="58" t="s">
        <v>125</v>
      </c>
      <c r="G83" s="73">
        <f>SUM(G84:G92)</f>
        <v>1863948.9773707613</v>
      </c>
      <c r="H83" s="73">
        <f t="shared" ref="H83:J83" si="16">SUM(H84:H92)</f>
        <v>3256897</v>
      </c>
      <c r="I83" s="73">
        <f t="shared" si="16"/>
        <v>2903554</v>
      </c>
      <c r="J83" s="73">
        <f t="shared" si="16"/>
        <v>2186013.15</v>
      </c>
      <c r="K83" s="65">
        <f t="shared" si="7"/>
        <v>117.27859381019827</v>
      </c>
      <c r="L83" s="65">
        <f t="shared" si="8"/>
        <v>75.287497666652655</v>
      </c>
    </row>
    <row r="84" spans="2:12" x14ac:dyDescent="0.25">
      <c r="B84" s="7"/>
      <c r="C84" s="15"/>
      <c r="D84" s="7"/>
      <c r="E84" s="7">
        <v>3231</v>
      </c>
      <c r="F84" s="58" t="s">
        <v>126</v>
      </c>
      <c r="G84" s="73">
        <f>189152.2/7.5345</f>
        <v>25104.811201805031</v>
      </c>
      <c r="H84" s="73">
        <v>37666</v>
      </c>
      <c r="I84" s="73">
        <v>37666</v>
      </c>
      <c r="J84" s="65">
        <v>25886.47</v>
      </c>
      <c r="K84" s="65">
        <f t="shared" si="7"/>
        <v>103.11358166333777</v>
      </c>
      <c r="L84" s="65">
        <f t="shared" si="8"/>
        <v>68.726357988636963</v>
      </c>
    </row>
    <row r="85" spans="2:12" x14ac:dyDescent="0.25">
      <c r="B85" s="7"/>
      <c r="C85" s="15"/>
      <c r="D85" s="7"/>
      <c r="E85" s="7">
        <v>3232</v>
      </c>
      <c r="F85" s="58" t="s">
        <v>127</v>
      </c>
      <c r="G85" s="73">
        <f>5917125.36/7.5345</f>
        <v>785337.49552060524</v>
      </c>
      <c r="H85" s="73">
        <v>1815346</v>
      </c>
      <c r="I85" s="73">
        <v>1491710</v>
      </c>
      <c r="J85" s="65">
        <v>978690.95</v>
      </c>
      <c r="K85" s="65">
        <f t="shared" si="7"/>
        <v>124.62042823400652</v>
      </c>
      <c r="L85" s="65">
        <f t="shared" si="8"/>
        <v>65.608660530532063</v>
      </c>
    </row>
    <row r="86" spans="2:12" x14ac:dyDescent="0.25">
      <c r="B86" s="7"/>
      <c r="C86" s="15"/>
      <c r="D86" s="7"/>
      <c r="E86" s="7">
        <v>3233</v>
      </c>
      <c r="F86" s="58" t="s">
        <v>128</v>
      </c>
      <c r="G86" s="73">
        <f>659433.56/7.5345</f>
        <v>87521.874046054814</v>
      </c>
      <c r="H86" s="73">
        <v>146488</v>
      </c>
      <c r="I86" s="73">
        <v>140487</v>
      </c>
      <c r="J86" s="65">
        <v>96670.77</v>
      </c>
      <c r="K86" s="65">
        <f t="shared" si="7"/>
        <v>110.45326788721522</v>
      </c>
      <c r="L86" s="65">
        <f t="shared" si="8"/>
        <v>68.811185376582884</v>
      </c>
    </row>
    <row r="87" spans="2:12" x14ac:dyDescent="0.25">
      <c r="B87" s="7"/>
      <c r="C87" s="15"/>
      <c r="D87" s="7"/>
      <c r="E87" s="7">
        <v>3234</v>
      </c>
      <c r="F87" s="58" t="s">
        <v>129</v>
      </c>
      <c r="G87" s="73">
        <f>2032634.86/7.5345</f>
        <v>269777.00710067025</v>
      </c>
      <c r="H87" s="73">
        <v>265631</v>
      </c>
      <c r="I87" s="73">
        <v>265631</v>
      </c>
      <c r="J87" s="65">
        <v>322582.40999999997</v>
      </c>
      <c r="K87" s="65">
        <f t="shared" si="7"/>
        <v>119.57372255954519</v>
      </c>
      <c r="L87" s="65">
        <f t="shared" si="8"/>
        <v>121.44004653071366</v>
      </c>
    </row>
    <row r="88" spans="2:12" x14ac:dyDescent="0.25">
      <c r="B88" s="7"/>
      <c r="C88" s="15"/>
      <c r="D88" s="7"/>
      <c r="E88" s="7">
        <v>3235</v>
      </c>
      <c r="F88" s="58" t="s">
        <v>130</v>
      </c>
      <c r="G88" s="73">
        <f>71249/7.5345</f>
        <v>9456.3673767336913</v>
      </c>
      <c r="H88" s="73">
        <v>31581</v>
      </c>
      <c r="I88" s="73">
        <v>31581</v>
      </c>
      <c r="J88" s="65">
        <v>25036.38</v>
      </c>
      <c r="K88" s="65">
        <f t="shared" si="7"/>
        <v>264.75684586450336</v>
      </c>
      <c r="L88" s="65">
        <f t="shared" si="8"/>
        <v>79.276717013394133</v>
      </c>
    </row>
    <row r="89" spans="2:12" x14ac:dyDescent="0.25">
      <c r="B89" s="7"/>
      <c r="C89" s="15"/>
      <c r="D89" s="7"/>
      <c r="E89" s="7">
        <v>3236</v>
      </c>
      <c r="F89" s="58" t="s">
        <v>131</v>
      </c>
      <c r="G89" s="73">
        <f>199590.78/7.5345</f>
        <v>26490.248855265774</v>
      </c>
      <c r="H89" s="73">
        <v>46188</v>
      </c>
      <c r="I89" s="73">
        <v>49188</v>
      </c>
      <c r="J89" s="65">
        <v>31980.04</v>
      </c>
      <c r="K89" s="65">
        <f t="shared" si="7"/>
        <v>120.72381869543274</v>
      </c>
      <c r="L89" s="65">
        <f t="shared" si="8"/>
        <v>65.015938846873226</v>
      </c>
    </row>
    <row r="90" spans="2:12" x14ac:dyDescent="0.25">
      <c r="B90" s="7"/>
      <c r="C90" s="15"/>
      <c r="D90" s="7"/>
      <c r="E90" s="7">
        <v>3237</v>
      </c>
      <c r="F90" s="58" t="s">
        <v>132</v>
      </c>
      <c r="G90" s="73">
        <f>1873542.87/7.5345</f>
        <v>248661.87139159866</v>
      </c>
      <c r="H90" s="73">
        <v>539068</v>
      </c>
      <c r="I90" s="73">
        <v>523745</v>
      </c>
      <c r="J90" s="65">
        <v>305443</v>
      </c>
      <c r="K90" s="65">
        <f t="shared" si="7"/>
        <v>122.83467436749926</v>
      </c>
      <c r="L90" s="65">
        <f t="shared" si="8"/>
        <v>58.31902929860906</v>
      </c>
    </row>
    <row r="91" spans="2:12" x14ac:dyDescent="0.25">
      <c r="B91" s="7"/>
      <c r="C91" s="15"/>
      <c r="D91" s="7"/>
      <c r="E91" s="7">
        <v>3238</v>
      </c>
      <c r="F91" s="58" t="s">
        <v>133</v>
      </c>
      <c r="G91" s="73">
        <f>1109823.3/7.5345</f>
        <v>147298.86521998805</v>
      </c>
      <c r="H91" s="73">
        <v>160085</v>
      </c>
      <c r="I91" s="73">
        <v>132959</v>
      </c>
      <c r="J91" s="65">
        <v>142171.95000000001</v>
      </c>
      <c r="K91" s="65">
        <f t="shared" si="7"/>
        <v>96.519379010604681</v>
      </c>
      <c r="L91" s="65">
        <f t="shared" si="8"/>
        <v>106.92916613392099</v>
      </c>
    </row>
    <row r="92" spans="2:12" x14ac:dyDescent="0.25">
      <c r="B92" s="7"/>
      <c r="C92" s="15"/>
      <c r="D92" s="7"/>
      <c r="E92" s="7">
        <v>3239</v>
      </c>
      <c r="F92" s="58" t="s">
        <v>134</v>
      </c>
      <c r="G92" s="73">
        <f>1991371.64/7.5345</f>
        <v>264300.43665803963</v>
      </c>
      <c r="H92" s="73">
        <v>214844</v>
      </c>
      <c r="I92" s="73">
        <v>230587</v>
      </c>
      <c r="J92" s="65">
        <v>257551.18</v>
      </c>
      <c r="K92" s="65">
        <f t="shared" si="7"/>
        <v>97.446369463712983</v>
      </c>
      <c r="L92" s="65">
        <f t="shared" si="8"/>
        <v>111.69371213468236</v>
      </c>
    </row>
    <row r="93" spans="2:12" x14ac:dyDescent="0.25">
      <c r="B93" s="7"/>
      <c r="C93" s="15"/>
      <c r="D93" s="7">
        <v>324</v>
      </c>
      <c r="E93" s="7"/>
      <c r="F93" s="58" t="s">
        <v>135</v>
      </c>
      <c r="G93" s="73">
        <f>SUM(G94)</f>
        <v>5460.9423319397438</v>
      </c>
      <c r="H93" s="73">
        <f t="shared" ref="H93:J93" si="17">SUM(H94)</f>
        <v>3318</v>
      </c>
      <c r="I93" s="73">
        <f t="shared" si="17"/>
        <v>3318</v>
      </c>
      <c r="J93" s="73">
        <f t="shared" si="17"/>
        <v>1057.76</v>
      </c>
      <c r="K93" s="65">
        <f t="shared" si="7"/>
        <v>19.369550815679101</v>
      </c>
      <c r="L93" s="65">
        <f t="shared" si="8"/>
        <v>31.879445449065702</v>
      </c>
    </row>
    <row r="94" spans="2:12" x14ac:dyDescent="0.25">
      <c r="B94" s="7"/>
      <c r="C94" s="15"/>
      <c r="D94" s="7"/>
      <c r="E94" s="7">
        <v>3241</v>
      </c>
      <c r="F94" s="58" t="s">
        <v>135</v>
      </c>
      <c r="G94" s="73">
        <f>41145.47/7.5345</f>
        <v>5460.9423319397438</v>
      </c>
      <c r="H94" s="73">
        <v>3318</v>
      </c>
      <c r="I94" s="73">
        <v>3318</v>
      </c>
      <c r="J94" s="65">
        <v>1057.76</v>
      </c>
      <c r="K94" s="65">
        <f t="shared" si="7"/>
        <v>19.369550815679101</v>
      </c>
      <c r="L94" s="65">
        <f t="shared" si="8"/>
        <v>31.879445449065702</v>
      </c>
    </row>
    <row r="95" spans="2:12" x14ac:dyDescent="0.25">
      <c r="B95" s="7"/>
      <c r="C95" s="15"/>
      <c r="D95" s="7">
        <v>329</v>
      </c>
      <c r="E95" s="7"/>
      <c r="F95" s="58" t="s">
        <v>136</v>
      </c>
      <c r="G95" s="73">
        <f>SUM(G96:G102)</f>
        <v>442602.74736213416</v>
      </c>
      <c r="H95" s="73">
        <f t="shared" ref="H95:J95" si="18">SUM(H96:H102)</f>
        <v>309908</v>
      </c>
      <c r="I95" s="73">
        <f t="shared" si="18"/>
        <v>449096</v>
      </c>
      <c r="J95" s="73">
        <f t="shared" si="18"/>
        <v>487244.36</v>
      </c>
      <c r="K95" s="65">
        <f t="shared" si="7"/>
        <v>110.08615805119265</v>
      </c>
      <c r="L95" s="65">
        <f t="shared" si="8"/>
        <v>108.49447779539341</v>
      </c>
    </row>
    <row r="96" spans="2:12" x14ac:dyDescent="0.25">
      <c r="B96" s="7"/>
      <c r="C96" s="15"/>
      <c r="D96" s="7"/>
      <c r="E96" s="7">
        <v>3291</v>
      </c>
      <c r="F96" s="58" t="s">
        <v>137</v>
      </c>
      <c r="G96" s="73">
        <f>105586.7/7.5345</f>
        <v>14013.763355232595</v>
      </c>
      <c r="H96" s="73">
        <v>13272</v>
      </c>
      <c r="I96" s="73">
        <v>13272</v>
      </c>
      <c r="J96" s="65">
        <v>15124.52</v>
      </c>
      <c r="K96" s="65">
        <f t="shared" si="7"/>
        <v>107.92618382807684</v>
      </c>
      <c r="L96" s="65">
        <f t="shared" si="8"/>
        <v>113.95810729355034</v>
      </c>
    </row>
    <row r="97" spans="2:12" x14ac:dyDescent="0.25">
      <c r="B97" s="7"/>
      <c r="C97" s="15"/>
      <c r="D97" s="7"/>
      <c r="E97" s="7">
        <v>3292</v>
      </c>
      <c r="F97" s="58" t="s">
        <v>138</v>
      </c>
      <c r="G97" s="73">
        <f>677834.77/7.5345</f>
        <v>89964.134315482108</v>
      </c>
      <c r="H97" s="73">
        <v>85606</v>
      </c>
      <c r="I97" s="73">
        <v>85606</v>
      </c>
      <c r="J97" s="65">
        <v>91926.88</v>
      </c>
      <c r="K97" s="65">
        <f t="shared" si="7"/>
        <v>102.18169796158436</v>
      </c>
      <c r="L97" s="65">
        <f t="shared" si="8"/>
        <v>107.38368805924819</v>
      </c>
    </row>
    <row r="98" spans="2:12" x14ac:dyDescent="0.25">
      <c r="B98" s="7"/>
      <c r="C98" s="15"/>
      <c r="D98" s="7"/>
      <c r="E98" s="7">
        <v>3293</v>
      </c>
      <c r="F98" s="58" t="s">
        <v>139</v>
      </c>
      <c r="G98" s="73">
        <f>133503.07/7.5345</f>
        <v>17718.90238237441</v>
      </c>
      <c r="H98" s="73">
        <v>22563</v>
      </c>
      <c r="I98" s="73">
        <v>22563</v>
      </c>
      <c r="J98" s="65">
        <v>10943.01</v>
      </c>
      <c r="K98" s="65">
        <f t="shared" si="7"/>
        <v>61.758960932508899</v>
      </c>
      <c r="L98" s="65">
        <f t="shared" si="8"/>
        <v>48.499800558436377</v>
      </c>
    </row>
    <row r="99" spans="2:12" x14ac:dyDescent="0.25">
      <c r="B99" s="7"/>
      <c r="C99" s="15"/>
      <c r="D99" s="7"/>
      <c r="E99" s="7">
        <v>3294</v>
      </c>
      <c r="F99" s="58" t="s">
        <v>140</v>
      </c>
      <c r="G99" s="73">
        <f>8393.64/7.5345</f>
        <v>1114.0274736213416</v>
      </c>
      <c r="H99" s="73">
        <v>1328</v>
      </c>
      <c r="I99" s="73">
        <v>1328</v>
      </c>
      <c r="J99" s="65">
        <v>1289.29</v>
      </c>
      <c r="K99" s="65">
        <f t="shared" si="7"/>
        <v>115.73233430311522</v>
      </c>
      <c r="L99" s="65">
        <f t="shared" si="8"/>
        <v>97.085090361445779</v>
      </c>
    </row>
    <row r="100" spans="2:12" x14ac:dyDescent="0.25">
      <c r="B100" s="7"/>
      <c r="C100" s="15"/>
      <c r="D100" s="7"/>
      <c r="E100" s="7">
        <v>3295</v>
      </c>
      <c r="F100" s="58" t="s">
        <v>141</v>
      </c>
      <c r="G100" s="73">
        <f>1451954.16/7.5345</f>
        <v>192707.43380449928</v>
      </c>
      <c r="H100" s="73">
        <v>106178</v>
      </c>
      <c r="I100" s="73">
        <v>175000</v>
      </c>
      <c r="J100" s="65">
        <v>246560.62</v>
      </c>
      <c r="K100" s="65">
        <f t="shared" si="7"/>
        <v>127.94556760593601</v>
      </c>
      <c r="L100" s="65">
        <f t="shared" si="8"/>
        <v>140.89178285714286</v>
      </c>
    </row>
    <row r="101" spans="2:12" x14ac:dyDescent="0.25">
      <c r="B101" s="7"/>
      <c r="C101" s="15"/>
      <c r="D101" s="7"/>
      <c r="E101" s="7">
        <v>3296</v>
      </c>
      <c r="F101" s="58" t="s">
        <v>142</v>
      </c>
      <c r="G101" s="73">
        <v>0</v>
      </c>
      <c r="H101" s="73">
        <v>1327</v>
      </c>
      <c r="I101" s="73">
        <v>1327</v>
      </c>
      <c r="J101" s="65">
        <v>0</v>
      </c>
      <c r="K101" s="65"/>
      <c r="L101" s="65">
        <f t="shared" si="8"/>
        <v>0</v>
      </c>
    </row>
    <row r="102" spans="2:12" x14ac:dyDescent="0.25">
      <c r="B102" s="7"/>
      <c r="C102" s="15"/>
      <c r="D102" s="8"/>
      <c r="E102" s="7">
        <v>3299</v>
      </c>
      <c r="F102" s="58" t="s">
        <v>136</v>
      </c>
      <c r="G102" s="73">
        <f>957518.06/7.5345</f>
        <v>127084.48603092441</v>
      </c>
      <c r="H102" s="73">
        <v>79634</v>
      </c>
      <c r="I102" s="73">
        <v>150000</v>
      </c>
      <c r="J102" s="65">
        <v>121400.04</v>
      </c>
      <c r="K102" s="65">
        <f t="shared" si="7"/>
        <v>95.52703385876606</v>
      </c>
      <c r="L102" s="65">
        <f t="shared" si="8"/>
        <v>80.933359999999993</v>
      </c>
    </row>
    <row r="103" spans="2:12" x14ac:dyDescent="0.25">
      <c r="B103" s="7"/>
      <c r="C103" s="15">
        <v>34</v>
      </c>
      <c r="D103" s="7"/>
      <c r="E103" s="7"/>
      <c r="F103" s="58" t="s">
        <v>143</v>
      </c>
      <c r="G103" s="73">
        <f>SUM(G104,G108)</f>
        <v>13678.59181100272</v>
      </c>
      <c r="H103" s="73">
        <f t="shared" ref="H103:J103" si="19">SUM(H104,H108)</f>
        <v>15928</v>
      </c>
      <c r="I103" s="73">
        <f t="shared" si="19"/>
        <v>15928</v>
      </c>
      <c r="J103" s="73">
        <f t="shared" si="19"/>
        <v>17341.45</v>
      </c>
      <c r="K103" s="65">
        <f t="shared" si="7"/>
        <v>126.77803563120416</v>
      </c>
      <c r="L103" s="65">
        <f t="shared" si="8"/>
        <v>108.87399547965846</v>
      </c>
    </row>
    <row r="104" spans="2:12" x14ac:dyDescent="0.25">
      <c r="B104" s="7"/>
      <c r="C104" s="15"/>
      <c r="D104" s="7">
        <v>341</v>
      </c>
      <c r="E104" s="7"/>
      <c r="F104" s="58" t="s">
        <v>144</v>
      </c>
      <c r="G104" s="73">
        <f>SUM(G107)</f>
        <v>0</v>
      </c>
      <c r="H104" s="73">
        <f t="shared" ref="H104:J104" si="20">SUM(H107)</f>
        <v>0</v>
      </c>
      <c r="I104" s="73">
        <f t="shared" si="20"/>
        <v>0</v>
      </c>
      <c r="J104" s="73">
        <f t="shared" si="20"/>
        <v>0</v>
      </c>
      <c r="K104" s="65"/>
      <c r="L104" s="65"/>
    </row>
    <row r="105" spans="2:12" ht="36.75" customHeight="1" x14ac:dyDescent="0.25">
      <c r="B105" s="111" t="s">
        <v>7</v>
      </c>
      <c r="C105" s="112"/>
      <c r="D105" s="112"/>
      <c r="E105" s="112"/>
      <c r="F105" s="113"/>
      <c r="G105" s="33" t="s">
        <v>204</v>
      </c>
      <c r="H105" s="33" t="s">
        <v>60</v>
      </c>
      <c r="I105" s="33" t="s">
        <v>60</v>
      </c>
      <c r="J105" s="33" t="s">
        <v>205</v>
      </c>
      <c r="K105" s="33" t="s">
        <v>28</v>
      </c>
      <c r="L105" s="33" t="s">
        <v>58</v>
      </c>
    </row>
    <row r="106" spans="2:12" x14ac:dyDescent="0.25">
      <c r="B106" s="114">
        <v>1</v>
      </c>
      <c r="C106" s="115"/>
      <c r="D106" s="115"/>
      <c r="E106" s="115"/>
      <c r="F106" s="116"/>
      <c r="G106" s="35">
        <v>2</v>
      </c>
      <c r="H106" s="35">
        <v>3</v>
      </c>
      <c r="I106" s="35">
        <v>3</v>
      </c>
      <c r="J106" s="35">
        <v>4</v>
      </c>
      <c r="K106" s="35" t="s">
        <v>212</v>
      </c>
      <c r="L106" s="35" t="s">
        <v>213</v>
      </c>
    </row>
    <row r="107" spans="2:12" x14ac:dyDescent="0.25">
      <c r="B107" s="7"/>
      <c r="C107" s="15"/>
      <c r="D107" s="7"/>
      <c r="E107" s="7">
        <v>3411</v>
      </c>
      <c r="F107" s="58" t="s">
        <v>145</v>
      </c>
      <c r="G107" s="73"/>
      <c r="H107" s="73"/>
      <c r="I107" s="73"/>
      <c r="J107" s="65"/>
      <c r="K107" s="65"/>
      <c r="L107" s="65"/>
    </row>
    <row r="108" spans="2:12" x14ac:dyDescent="0.25">
      <c r="B108" s="7"/>
      <c r="C108" s="15"/>
      <c r="D108" s="7">
        <v>343</v>
      </c>
      <c r="E108" s="7"/>
      <c r="F108" s="58" t="s">
        <v>146</v>
      </c>
      <c r="G108" s="73">
        <f>SUM(G109:G111)</f>
        <v>13678.59181100272</v>
      </c>
      <c r="H108" s="73">
        <f t="shared" ref="H108:J108" si="21">SUM(H109:H111)</f>
        <v>15928</v>
      </c>
      <c r="I108" s="73">
        <f t="shared" si="21"/>
        <v>15928</v>
      </c>
      <c r="J108" s="73">
        <f t="shared" si="21"/>
        <v>17341.45</v>
      </c>
      <c r="K108" s="65">
        <f t="shared" si="7"/>
        <v>126.77803563120416</v>
      </c>
      <c r="L108" s="65">
        <f t="shared" si="8"/>
        <v>108.87399547965846</v>
      </c>
    </row>
    <row r="109" spans="2:12" x14ac:dyDescent="0.25">
      <c r="B109" s="7"/>
      <c r="C109" s="15"/>
      <c r="D109" s="7"/>
      <c r="E109" s="7">
        <v>3431</v>
      </c>
      <c r="F109" s="58" t="s">
        <v>147</v>
      </c>
      <c r="G109" s="73">
        <f>99935.03/7.5345</f>
        <v>13263.657840599906</v>
      </c>
      <c r="H109" s="73">
        <v>14600</v>
      </c>
      <c r="I109" s="73">
        <v>14600</v>
      </c>
      <c r="J109" s="65">
        <v>15756.61</v>
      </c>
      <c r="K109" s="65">
        <f t="shared" si="7"/>
        <v>118.7953593899957</v>
      </c>
      <c r="L109" s="65">
        <f t="shared" si="8"/>
        <v>107.92198630136987</v>
      </c>
    </row>
    <row r="110" spans="2:12" x14ac:dyDescent="0.25">
      <c r="B110" s="7"/>
      <c r="C110" s="15"/>
      <c r="D110" s="7"/>
      <c r="E110" s="7">
        <v>3432</v>
      </c>
      <c r="F110" s="58" t="s">
        <v>148</v>
      </c>
      <c r="G110" s="73">
        <f>1519.35/7.5345</f>
        <v>201.65239896476209</v>
      </c>
      <c r="H110" s="73">
        <v>664</v>
      </c>
      <c r="I110" s="73">
        <v>664</v>
      </c>
      <c r="J110" s="65">
        <v>912.84</v>
      </c>
      <c r="K110" s="65">
        <f t="shared" si="7"/>
        <v>452.67996050942844</v>
      </c>
      <c r="L110" s="65">
        <f t="shared" si="8"/>
        <v>137.47590361445782</v>
      </c>
    </row>
    <row r="111" spans="2:12" x14ac:dyDescent="0.25">
      <c r="B111" s="7"/>
      <c r="C111" s="7"/>
      <c r="D111" s="7"/>
      <c r="E111" s="7">
        <v>3433</v>
      </c>
      <c r="F111" s="58" t="s">
        <v>149</v>
      </c>
      <c r="G111" s="73">
        <f>1606.97/7.5345</f>
        <v>213.28157143805163</v>
      </c>
      <c r="H111" s="73">
        <v>664</v>
      </c>
      <c r="I111" s="73">
        <v>664</v>
      </c>
      <c r="J111" s="65">
        <v>672</v>
      </c>
      <c r="K111" s="65">
        <f t="shared" si="7"/>
        <v>315.07644822243105</v>
      </c>
      <c r="L111" s="65">
        <f t="shared" si="8"/>
        <v>101.20481927710843</v>
      </c>
    </row>
    <row r="112" spans="2:12" x14ac:dyDescent="0.25">
      <c r="B112" s="7"/>
      <c r="C112" s="15">
        <v>36</v>
      </c>
      <c r="D112" s="7"/>
      <c r="E112" s="7"/>
      <c r="F112" s="58" t="s">
        <v>150</v>
      </c>
      <c r="G112" s="73">
        <f>SUM(G113)</f>
        <v>106722.36910213019</v>
      </c>
      <c r="H112" s="73">
        <f t="shared" ref="H112:J113" si="22">SUM(H113)</f>
        <v>119451</v>
      </c>
      <c r="I112" s="73">
        <f t="shared" si="22"/>
        <v>119451</v>
      </c>
      <c r="J112" s="73">
        <f t="shared" si="22"/>
        <v>161549.87</v>
      </c>
      <c r="K112" s="65">
        <f t="shared" si="7"/>
        <v>151.3739540821114</v>
      </c>
      <c r="L112" s="65">
        <f t="shared" si="8"/>
        <v>135.24363127977162</v>
      </c>
    </row>
    <row r="113" spans="2:12" x14ac:dyDescent="0.25">
      <c r="B113" s="7"/>
      <c r="C113" s="7"/>
      <c r="D113" s="7">
        <v>369</v>
      </c>
      <c r="E113" s="7"/>
      <c r="F113" s="58" t="s">
        <v>80</v>
      </c>
      <c r="G113" s="73">
        <f>SUM(G114)</f>
        <v>106722.36910213019</v>
      </c>
      <c r="H113" s="73">
        <f t="shared" si="22"/>
        <v>119451</v>
      </c>
      <c r="I113" s="73">
        <f t="shared" si="22"/>
        <v>119451</v>
      </c>
      <c r="J113" s="73">
        <f t="shared" si="22"/>
        <v>161549.87</v>
      </c>
      <c r="K113" s="65">
        <f t="shared" si="7"/>
        <v>151.3739540821114</v>
      </c>
      <c r="L113" s="65">
        <f t="shared" si="8"/>
        <v>135.24363127977162</v>
      </c>
    </row>
    <row r="114" spans="2:12" x14ac:dyDescent="0.25">
      <c r="B114" s="7"/>
      <c r="C114" s="7"/>
      <c r="D114" s="8"/>
      <c r="E114" s="7">
        <v>3691</v>
      </c>
      <c r="F114" s="58" t="s">
        <v>81</v>
      </c>
      <c r="G114" s="73">
        <f>804099.69/7.5345</f>
        <v>106722.36910213019</v>
      </c>
      <c r="H114" s="73">
        <v>119451</v>
      </c>
      <c r="I114" s="73">
        <v>119451</v>
      </c>
      <c r="J114" s="65">
        <v>161549.87</v>
      </c>
      <c r="K114" s="65">
        <f t="shared" si="7"/>
        <v>151.3739540821114</v>
      </c>
      <c r="L114" s="65">
        <f t="shared" si="8"/>
        <v>135.24363127977162</v>
      </c>
    </row>
    <row r="115" spans="2:12" x14ac:dyDescent="0.25">
      <c r="B115" s="7"/>
      <c r="C115" s="15">
        <v>37</v>
      </c>
      <c r="D115" s="7"/>
      <c r="E115" s="7"/>
      <c r="F115" s="58" t="s">
        <v>151</v>
      </c>
      <c r="G115" s="73">
        <f>SUM(G116)</f>
        <v>2787.1789767071468</v>
      </c>
      <c r="H115" s="73">
        <f t="shared" ref="H115:J116" si="23">SUM(H116)</f>
        <v>3982</v>
      </c>
      <c r="I115" s="73">
        <f t="shared" si="23"/>
        <v>3982</v>
      </c>
      <c r="J115" s="73">
        <f t="shared" si="23"/>
        <v>3544.61</v>
      </c>
      <c r="K115" s="65">
        <f t="shared" si="7"/>
        <v>127.17554307142859</v>
      </c>
      <c r="L115" s="65">
        <f t="shared" si="8"/>
        <v>89.015821195379203</v>
      </c>
    </row>
    <row r="116" spans="2:12" x14ac:dyDescent="0.25">
      <c r="B116" s="7"/>
      <c r="C116" s="7"/>
      <c r="D116" s="7">
        <v>372</v>
      </c>
      <c r="E116" s="7"/>
      <c r="F116" s="58" t="s">
        <v>152</v>
      </c>
      <c r="G116" s="73">
        <f>SUM(G117)</f>
        <v>2787.1789767071468</v>
      </c>
      <c r="H116" s="73">
        <f t="shared" si="23"/>
        <v>3982</v>
      </c>
      <c r="I116" s="73">
        <f t="shared" si="23"/>
        <v>3982</v>
      </c>
      <c r="J116" s="73">
        <f t="shared" si="23"/>
        <v>3544.61</v>
      </c>
      <c r="K116" s="65">
        <f t="shared" si="7"/>
        <v>127.17554307142859</v>
      </c>
      <c r="L116" s="65">
        <f t="shared" si="8"/>
        <v>89.015821195379203</v>
      </c>
    </row>
    <row r="117" spans="2:12" x14ac:dyDescent="0.25">
      <c r="B117" s="7"/>
      <c r="C117" s="7"/>
      <c r="D117" s="8"/>
      <c r="E117" s="7">
        <v>3721</v>
      </c>
      <c r="F117" s="58" t="s">
        <v>153</v>
      </c>
      <c r="G117" s="73">
        <f>21000/7.5345</f>
        <v>2787.1789767071468</v>
      </c>
      <c r="H117" s="73">
        <v>3982</v>
      </c>
      <c r="I117" s="73">
        <v>3982</v>
      </c>
      <c r="J117" s="65">
        <v>3544.61</v>
      </c>
      <c r="K117" s="65">
        <f t="shared" si="7"/>
        <v>127.17554307142859</v>
      </c>
      <c r="L117" s="65">
        <f t="shared" si="8"/>
        <v>89.015821195379203</v>
      </c>
    </row>
    <row r="118" spans="2:12" x14ac:dyDescent="0.25">
      <c r="B118" s="7"/>
      <c r="C118" s="15">
        <v>38</v>
      </c>
      <c r="D118" s="8"/>
      <c r="E118" s="7"/>
      <c r="F118" s="58" t="s">
        <v>98</v>
      </c>
      <c r="G118" s="73">
        <f>SUM(G119)</f>
        <v>0</v>
      </c>
      <c r="H118" s="73">
        <f t="shared" ref="H118:J119" si="24">SUM(H119)</f>
        <v>664</v>
      </c>
      <c r="I118" s="73">
        <f t="shared" si="24"/>
        <v>664</v>
      </c>
      <c r="J118" s="73">
        <f t="shared" si="24"/>
        <v>0</v>
      </c>
      <c r="K118" s="65"/>
      <c r="L118" s="65">
        <f t="shared" si="8"/>
        <v>0</v>
      </c>
    </row>
    <row r="119" spans="2:12" x14ac:dyDescent="0.25">
      <c r="B119" s="7"/>
      <c r="C119" s="7"/>
      <c r="D119" s="7">
        <v>383</v>
      </c>
      <c r="E119" s="7"/>
      <c r="F119" s="58" t="s">
        <v>98</v>
      </c>
      <c r="G119" s="73">
        <f>SUM(G120)</f>
        <v>0</v>
      </c>
      <c r="H119" s="73">
        <f t="shared" si="24"/>
        <v>664</v>
      </c>
      <c r="I119" s="73">
        <f t="shared" si="24"/>
        <v>664</v>
      </c>
      <c r="J119" s="73">
        <f t="shared" si="24"/>
        <v>0</v>
      </c>
      <c r="K119" s="65"/>
      <c r="L119" s="65">
        <f t="shared" si="8"/>
        <v>0</v>
      </c>
    </row>
    <row r="120" spans="2:12" x14ac:dyDescent="0.25">
      <c r="B120" s="7"/>
      <c r="C120" s="7"/>
      <c r="D120" s="8"/>
      <c r="E120" s="7">
        <v>3835</v>
      </c>
      <c r="F120" s="58" t="s">
        <v>98</v>
      </c>
      <c r="G120" s="73"/>
      <c r="H120" s="73">
        <v>664</v>
      </c>
      <c r="I120" s="73">
        <v>664</v>
      </c>
      <c r="J120" s="65">
        <v>0</v>
      </c>
      <c r="K120" s="65"/>
      <c r="L120" s="65">
        <f t="shared" si="8"/>
        <v>0</v>
      </c>
    </row>
    <row r="121" spans="2:12" x14ac:dyDescent="0.25">
      <c r="B121" s="9">
        <v>4</v>
      </c>
      <c r="C121" s="9"/>
      <c r="D121" s="9"/>
      <c r="E121" s="9"/>
      <c r="F121" s="63" t="s">
        <v>6</v>
      </c>
      <c r="G121" s="76">
        <f>SUM(G122,G141)</f>
        <v>593477.71185878292</v>
      </c>
      <c r="H121" s="76">
        <f t="shared" ref="H121:J121" si="25">SUM(H122,H141)</f>
        <v>833429</v>
      </c>
      <c r="I121" s="76">
        <f t="shared" si="25"/>
        <v>706258</v>
      </c>
      <c r="J121" s="76">
        <f t="shared" si="25"/>
        <v>388485.31</v>
      </c>
      <c r="K121" s="65">
        <f t="shared" si="7"/>
        <v>65.459123777918634</v>
      </c>
      <c r="L121" s="65">
        <f t="shared" si="8"/>
        <v>55.006146479048738</v>
      </c>
    </row>
    <row r="122" spans="2:12" x14ac:dyDescent="0.25">
      <c r="B122" s="10"/>
      <c r="C122" s="10">
        <v>42</v>
      </c>
      <c r="D122" s="10"/>
      <c r="E122" s="10"/>
      <c r="F122" s="58" t="s">
        <v>154</v>
      </c>
      <c r="G122" s="73">
        <f>SUM(G123,G126,G134,G136,G139)</f>
        <v>541138.52544959856</v>
      </c>
      <c r="H122" s="73">
        <f t="shared" ref="H122:J122" si="26">SUM(H123,H126,H134,H136,H139)</f>
        <v>821111</v>
      </c>
      <c r="I122" s="73">
        <f t="shared" si="26"/>
        <v>693940</v>
      </c>
      <c r="J122" s="73">
        <f t="shared" si="26"/>
        <v>380172.96</v>
      </c>
      <c r="K122" s="65">
        <f t="shared" si="7"/>
        <v>70.254277254449377</v>
      </c>
      <c r="L122" s="65">
        <f t="shared" si="8"/>
        <v>54.784701847421971</v>
      </c>
    </row>
    <row r="123" spans="2:12" x14ac:dyDescent="0.25">
      <c r="B123" s="10"/>
      <c r="C123" s="10"/>
      <c r="D123" s="7">
        <v>421</v>
      </c>
      <c r="E123" s="7"/>
      <c r="F123" s="58" t="s">
        <v>155</v>
      </c>
      <c r="G123" s="73">
        <f>SUM(G124:G125)</f>
        <v>15161.928462406264</v>
      </c>
      <c r="H123" s="73">
        <f t="shared" ref="H123:J123" si="27">SUM(H124:H125)</f>
        <v>162441</v>
      </c>
      <c r="I123" s="73">
        <f t="shared" si="27"/>
        <v>64825</v>
      </c>
      <c r="J123" s="73">
        <f t="shared" si="27"/>
        <v>29605.3</v>
      </c>
      <c r="K123" s="65">
        <f t="shared" si="7"/>
        <v>195.26078145933627</v>
      </c>
      <c r="L123" s="65">
        <f t="shared" si="8"/>
        <v>45.669571924411876</v>
      </c>
    </row>
    <row r="124" spans="2:12" x14ac:dyDescent="0.25">
      <c r="B124" s="10"/>
      <c r="C124" s="10"/>
      <c r="D124" s="7"/>
      <c r="E124" s="7">
        <v>4212</v>
      </c>
      <c r="F124" s="58" t="s">
        <v>156</v>
      </c>
      <c r="G124" s="73">
        <f>64000/7.5345</f>
        <v>8494.2597385360677</v>
      </c>
      <c r="H124" s="73">
        <v>24554</v>
      </c>
      <c r="I124" s="82">
        <v>14226</v>
      </c>
      <c r="J124" s="65">
        <v>8132.48</v>
      </c>
      <c r="K124" s="65">
        <f t="shared" si="7"/>
        <v>95.740891499999989</v>
      </c>
      <c r="L124" s="65">
        <f t="shared" si="8"/>
        <v>57.166315197525655</v>
      </c>
    </row>
    <row r="125" spans="2:12" x14ac:dyDescent="0.25">
      <c r="B125" s="10"/>
      <c r="C125" s="10"/>
      <c r="D125" s="7"/>
      <c r="E125" s="7">
        <v>4214</v>
      </c>
      <c r="F125" s="58" t="s">
        <v>157</v>
      </c>
      <c r="G125" s="73">
        <f>50237.55/7.5345</f>
        <v>6667.668723870197</v>
      </c>
      <c r="H125" s="73">
        <v>137887</v>
      </c>
      <c r="I125" s="82">
        <v>50599</v>
      </c>
      <c r="J125" s="65">
        <v>21472.82</v>
      </c>
      <c r="K125" s="65">
        <f t="shared" si="7"/>
        <v>322.04389403941872</v>
      </c>
      <c r="L125" s="65">
        <f t="shared" si="8"/>
        <v>42.437241842724163</v>
      </c>
    </row>
    <row r="126" spans="2:12" x14ac:dyDescent="0.25">
      <c r="B126" s="10"/>
      <c r="C126" s="10"/>
      <c r="D126" s="7">
        <v>422</v>
      </c>
      <c r="E126" s="7"/>
      <c r="F126" s="58" t="s">
        <v>158</v>
      </c>
      <c r="G126" s="73">
        <f>SUM(G127:G133)</f>
        <v>362943.13756719092</v>
      </c>
      <c r="H126" s="73">
        <f t="shared" ref="H126:J126" si="28">SUM(H127:H133)</f>
        <v>551310</v>
      </c>
      <c r="I126" s="73">
        <f t="shared" si="28"/>
        <v>535209</v>
      </c>
      <c r="J126" s="73">
        <f t="shared" si="28"/>
        <v>320007.66000000003</v>
      </c>
      <c r="K126" s="65">
        <f t="shared" ref="K126:K145" si="29">J126/G126*100</f>
        <v>88.170191657297195</v>
      </c>
      <c r="L126" s="65">
        <f t="shared" ref="L126:L145" si="30">J126/I126*100</f>
        <v>59.791158220433516</v>
      </c>
    </row>
    <row r="127" spans="2:12" x14ac:dyDescent="0.25">
      <c r="B127" s="10"/>
      <c r="C127" s="10"/>
      <c r="D127" s="7"/>
      <c r="E127" s="7">
        <v>4221</v>
      </c>
      <c r="F127" s="58" t="s">
        <v>159</v>
      </c>
      <c r="G127" s="73">
        <f>289971.24/7.5345</f>
        <v>38485.797332271548</v>
      </c>
      <c r="H127" s="73">
        <v>38223</v>
      </c>
      <c r="I127" s="82">
        <v>60832</v>
      </c>
      <c r="J127" s="65">
        <v>26950.38</v>
      </c>
      <c r="K127" s="65">
        <f t="shared" si="29"/>
        <v>70.026819939108449</v>
      </c>
      <c r="L127" s="65">
        <f t="shared" si="30"/>
        <v>44.302965544450288</v>
      </c>
    </row>
    <row r="128" spans="2:12" x14ac:dyDescent="0.25">
      <c r="B128" s="10"/>
      <c r="C128" s="10"/>
      <c r="D128" s="7"/>
      <c r="E128" s="7">
        <v>4222</v>
      </c>
      <c r="F128" s="58" t="s">
        <v>160</v>
      </c>
      <c r="G128" s="73">
        <f>258857.6/7.5345</f>
        <v>34356.307651469906</v>
      </c>
      <c r="H128" s="73">
        <v>43858</v>
      </c>
      <c r="I128" s="82">
        <v>43858</v>
      </c>
      <c r="J128" s="65">
        <v>41900.879999999997</v>
      </c>
      <c r="K128" s="65">
        <f t="shared" si="29"/>
        <v>121.95978806880694</v>
      </c>
      <c r="L128" s="65">
        <f t="shared" si="30"/>
        <v>95.537598613707871</v>
      </c>
    </row>
    <row r="129" spans="2:12" x14ac:dyDescent="0.25">
      <c r="B129" s="10"/>
      <c r="C129" s="10"/>
      <c r="D129" s="7"/>
      <c r="E129" s="7">
        <v>4223</v>
      </c>
      <c r="F129" s="58" t="s">
        <v>161</v>
      </c>
      <c r="G129" s="73">
        <f>932597.43/7.5345</f>
        <v>123776.95002986264</v>
      </c>
      <c r="H129" s="73">
        <v>185667</v>
      </c>
      <c r="I129" s="82">
        <v>173426</v>
      </c>
      <c r="J129" s="65">
        <v>58693.71</v>
      </c>
      <c r="K129" s="65">
        <f t="shared" si="29"/>
        <v>47.418933804589187</v>
      </c>
      <c r="L129" s="65">
        <f t="shared" si="30"/>
        <v>33.843662426625762</v>
      </c>
    </row>
    <row r="130" spans="2:12" x14ac:dyDescent="0.25">
      <c r="B130" s="10"/>
      <c r="C130" s="10"/>
      <c r="D130" s="7"/>
      <c r="E130" s="7">
        <v>4224</v>
      </c>
      <c r="F130" s="58" t="s">
        <v>162</v>
      </c>
      <c r="G130" s="73"/>
      <c r="H130" s="73">
        <v>4154</v>
      </c>
      <c r="I130" s="82">
        <v>4154</v>
      </c>
      <c r="J130" s="65">
        <v>2449.13</v>
      </c>
      <c r="K130" s="65"/>
      <c r="L130" s="65">
        <f t="shared" si="30"/>
        <v>58.958353394318728</v>
      </c>
    </row>
    <row r="131" spans="2:12" x14ac:dyDescent="0.25">
      <c r="B131" s="10"/>
      <c r="C131" s="10"/>
      <c r="D131" s="7"/>
      <c r="E131" s="7">
        <v>4225</v>
      </c>
      <c r="F131" s="58" t="s">
        <v>163</v>
      </c>
      <c r="G131" s="73">
        <f>234463.9/7.5345</f>
        <v>31118.707279846039</v>
      </c>
      <c r="H131" s="73">
        <v>49820</v>
      </c>
      <c r="I131" s="82">
        <v>38035</v>
      </c>
      <c r="J131" s="65">
        <v>12405.78</v>
      </c>
      <c r="K131" s="65">
        <f t="shared" si="29"/>
        <v>39.865987646712355</v>
      </c>
      <c r="L131" s="65">
        <f t="shared" si="30"/>
        <v>32.616747732351783</v>
      </c>
    </row>
    <row r="132" spans="2:12" x14ac:dyDescent="0.25">
      <c r="B132" s="10"/>
      <c r="C132" s="10"/>
      <c r="D132" s="7"/>
      <c r="E132" s="7">
        <v>4226</v>
      </c>
      <c r="F132" s="58" t="s">
        <v>164</v>
      </c>
      <c r="G132" s="73">
        <f>30064.01/7.5345</f>
        <v>3990.1798394054013</v>
      </c>
      <c r="H132" s="73">
        <v>4418</v>
      </c>
      <c r="I132" s="82">
        <v>4418</v>
      </c>
      <c r="J132" s="65">
        <v>1438.84</v>
      </c>
      <c r="K132" s="65">
        <f t="shared" si="29"/>
        <v>36.059527587969804</v>
      </c>
      <c r="L132" s="65">
        <f t="shared" si="30"/>
        <v>32.567677682209144</v>
      </c>
    </row>
    <row r="133" spans="2:12" x14ac:dyDescent="0.25">
      <c r="B133" s="10"/>
      <c r="C133" s="10"/>
      <c r="D133" s="7"/>
      <c r="E133" s="7">
        <v>4227</v>
      </c>
      <c r="F133" s="58" t="s">
        <v>109</v>
      </c>
      <c r="G133" s="73">
        <f>988640.89/7.5345</f>
        <v>131215.19543433539</v>
      </c>
      <c r="H133" s="73">
        <v>225170</v>
      </c>
      <c r="I133" s="82">
        <v>210486</v>
      </c>
      <c r="J133" s="65">
        <v>176168.94</v>
      </c>
      <c r="K133" s="65">
        <f t="shared" si="29"/>
        <v>134.25955691858954</v>
      </c>
      <c r="L133" s="65">
        <f t="shared" si="30"/>
        <v>83.696274336535453</v>
      </c>
    </row>
    <row r="134" spans="2:12" x14ac:dyDescent="0.25">
      <c r="B134" s="10"/>
      <c r="C134" s="10"/>
      <c r="D134" s="7">
        <v>423</v>
      </c>
      <c r="E134" s="7"/>
      <c r="F134" s="58" t="s">
        <v>165</v>
      </c>
      <c r="G134" s="73">
        <f>SUM(G135)</f>
        <v>156976.93808480987</v>
      </c>
      <c r="H134" s="73">
        <f t="shared" ref="H134:J134" si="31">SUM(H135)</f>
        <v>74312</v>
      </c>
      <c r="I134" s="73">
        <f t="shared" si="31"/>
        <v>93906</v>
      </c>
      <c r="J134" s="73">
        <f t="shared" si="31"/>
        <v>30560</v>
      </c>
      <c r="K134" s="65">
        <f t="shared" si="29"/>
        <v>19.467827805055901</v>
      </c>
      <c r="L134" s="65">
        <f t="shared" si="30"/>
        <v>32.543181479351688</v>
      </c>
    </row>
    <row r="135" spans="2:12" x14ac:dyDescent="0.25">
      <c r="B135" s="10"/>
      <c r="C135" s="10"/>
      <c r="D135" s="7"/>
      <c r="E135" s="7">
        <v>4231</v>
      </c>
      <c r="F135" s="58" t="s">
        <v>101</v>
      </c>
      <c r="G135" s="73">
        <f>1182742.74/7.5345</f>
        <v>156976.93808480987</v>
      </c>
      <c r="H135" s="73">
        <v>74312</v>
      </c>
      <c r="I135" s="82">
        <v>93906</v>
      </c>
      <c r="J135" s="65">
        <v>30560</v>
      </c>
      <c r="K135" s="65">
        <f t="shared" si="29"/>
        <v>19.467827805055901</v>
      </c>
      <c r="L135" s="65">
        <f t="shared" si="30"/>
        <v>32.543181479351688</v>
      </c>
    </row>
    <row r="136" spans="2:12" x14ac:dyDescent="0.25">
      <c r="B136" s="10"/>
      <c r="C136" s="10"/>
      <c r="D136" s="7">
        <v>424</v>
      </c>
      <c r="E136" s="7"/>
      <c r="F136" s="58"/>
      <c r="G136" s="73">
        <f>SUM(G137:G138)</f>
        <v>3136.6195500696795</v>
      </c>
      <c r="H136" s="73">
        <f t="shared" ref="H136:J136" si="32">SUM(H137:H138)</f>
        <v>0</v>
      </c>
      <c r="I136" s="73">
        <f t="shared" si="32"/>
        <v>0</v>
      </c>
      <c r="J136" s="73">
        <f t="shared" si="32"/>
        <v>0</v>
      </c>
      <c r="K136" s="65">
        <f t="shared" si="29"/>
        <v>0</v>
      </c>
      <c r="L136" s="65" t="e">
        <f t="shared" si="30"/>
        <v>#DIV/0!</v>
      </c>
    </row>
    <row r="137" spans="2:12" x14ac:dyDescent="0.25">
      <c r="B137" s="10"/>
      <c r="C137" s="10"/>
      <c r="D137" s="7"/>
      <c r="E137" s="7">
        <v>4242</v>
      </c>
      <c r="F137" s="58" t="s">
        <v>206</v>
      </c>
      <c r="G137" s="73">
        <f>20132.86/7.5345</f>
        <v>2672.0897206184882</v>
      </c>
      <c r="H137" s="73"/>
      <c r="I137" s="82"/>
      <c r="J137" s="65"/>
      <c r="K137" s="65">
        <f t="shared" si="29"/>
        <v>0</v>
      </c>
      <c r="L137" s="65" t="e">
        <f t="shared" si="30"/>
        <v>#DIV/0!</v>
      </c>
    </row>
    <row r="138" spans="2:12" x14ac:dyDescent="0.25">
      <c r="B138" s="10"/>
      <c r="C138" s="10"/>
      <c r="D138" s="7"/>
      <c r="E138" s="7">
        <v>4243</v>
      </c>
      <c r="F138" s="58" t="s">
        <v>207</v>
      </c>
      <c r="G138" s="73">
        <f>3500/7.5345</f>
        <v>464.52982945119118</v>
      </c>
      <c r="H138" s="73"/>
      <c r="I138" s="82"/>
      <c r="J138" s="65"/>
      <c r="K138" s="65">
        <f t="shared" si="29"/>
        <v>0</v>
      </c>
      <c r="L138" s="65" t="e">
        <f t="shared" si="30"/>
        <v>#DIV/0!</v>
      </c>
    </row>
    <row r="139" spans="2:12" x14ac:dyDescent="0.25">
      <c r="B139" s="10"/>
      <c r="C139" s="10"/>
      <c r="D139" s="7">
        <v>425</v>
      </c>
      <c r="E139" s="7"/>
      <c r="F139" s="58" t="s">
        <v>103</v>
      </c>
      <c r="G139" s="73">
        <f>SUM(G140)</f>
        <v>2919.9017851217732</v>
      </c>
      <c r="H139" s="73">
        <f>SUM(H140)</f>
        <v>33048</v>
      </c>
      <c r="I139" s="73">
        <f t="shared" ref="I139:J139" si="33">SUM(I140)</f>
        <v>0</v>
      </c>
      <c r="J139" s="73">
        <f t="shared" si="33"/>
        <v>0</v>
      </c>
      <c r="K139" s="65">
        <f t="shared" si="29"/>
        <v>0</v>
      </c>
      <c r="L139" s="65" t="e">
        <f t="shared" si="30"/>
        <v>#DIV/0!</v>
      </c>
    </row>
    <row r="140" spans="2:12" x14ac:dyDescent="0.25">
      <c r="B140" s="10"/>
      <c r="C140" s="10"/>
      <c r="D140" s="7"/>
      <c r="E140" s="7">
        <v>4252</v>
      </c>
      <c r="F140" s="58" t="s">
        <v>103</v>
      </c>
      <c r="G140" s="73">
        <f>22000/7.5345</f>
        <v>2919.9017851217732</v>
      </c>
      <c r="H140" s="73">
        <v>33048</v>
      </c>
      <c r="I140" s="82">
        <v>0</v>
      </c>
      <c r="J140" s="65"/>
      <c r="K140" s="65">
        <f t="shared" si="29"/>
        <v>0</v>
      </c>
      <c r="L140" s="65" t="e">
        <f t="shared" si="30"/>
        <v>#DIV/0!</v>
      </c>
    </row>
    <row r="141" spans="2:12" x14ac:dyDescent="0.25">
      <c r="B141" s="10"/>
      <c r="C141" s="10">
        <v>45</v>
      </c>
      <c r="D141" s="7"/>
      <c r="E141" s="7"/>
      <c r="F141" s="58" t="s">
        <v>166</v>
      </c>
      <c r="G141" s="73">
        <f>SUM(G142,G144)</f>
        <v>52339.186409184418</v>
      </c>
      <c r="H141" s="73">
        <f t="shared" ref="H141:J141" si="34">SUM(H142,H144)</f>
        <v>12318</v>
      </c>
      <c r="I141" s="73">
        <f t="shared" si="34"/>
        <v>12318</v>
      </c>
      <c r="J141" s="73">
        <f t="shared" si="34"/>
        <v>8312.35</v>
      </c>
      <c r="K141" s="65">
        <f t="shared" si="29"/>
        <v>15.881695093642801</v>
      </c>
      <c r="L141" s="65">
        <f t="shared" si="30"/>
        <v>67.481328137684699</v>
      </c>
    </row>
    <row r="142" spans="2:12" x14ac:dyDescent="0.25">
      <c r="B142" s="10"/>
      <c r="C142" s="10"/>
      <c r="D142" s="7">
        <v>451</v>
      </c>
      <c r="E142" s="7"/>
      <c r="F142" s="58" t="s">
        <v>167</v>
      </c>
      <c r="G142" s="73">
        <f>SUM(G143)</f>
        <v>50238.948835357354</v>
      </c>
      <c r="H142" s="73">
        <f t="shared" ref="H142:J142" si="35">SUM(H143)</f>
        <v>11945</v>
      </c>
      <c r="I142" s="73">
        <f t="shared" si="35"/>
        <v>11945</v>
      </c>
      <c r="J142" s="73">
        <f t="shared" si="35"/>
        <v>7719.67</v>
      </c>
      <c r="K142" s="65">
        <f t="shared" si="29"/>
        <v>15.365906689845035</v>
      </c>
      <c r="L142" s="65">
        <f t="shared" si="30"/>
        <v>64.626789451653408</v>
      </c>
    </row>
    <row r="143" spans="2:12" x14ac:dyDescent="0.25">
      <c r="B143" s="10"/>
      <c r="C143" s="10"/>
      <c r="D143" s="7"/>
      <c r="E143" s="7">
        <v>4511</v>
      </c>
      <c r="F143" s="58" t="s">
        <v>167</v>
      </c>
      <c r="G143" s="73">
        <f>378525.36/7.5345</f>
        <v>50238.948835357354</v>
      </c>
      <c r="H143" s="73">
        <v>11945</v>
      </c>
      <c r="I143" s="82">
        <v>11945</v>
      </c>
      <c r="J143" s="65">
        <v>7719.67</v>
      </c>
      <c r="K143" s="65">
        <f t="shared" si="29"/>
        <v>15.365906689845035</v>
      </c>
      <c r="L143" s="65">
        <f t="shared" si="30"/>
        <v>64.626789451653408</v>
      </c>
    </row>
    <row r="144" spans="2:12" x14ac:dyDescent="0.25">
      <c r="B144" s="10"/>
      <c r="C144" s="10"/>
      <c r="D144" s="7">
        <v>452</v>
      </c>
      <c r="E144" s="7"/>
      <c r="F144" s="58" t="s">
        <v>168</v>
      </c>
      <c r="G144" s="73">
        <f>SUM(G145)</f>
        <v>2100.2375738270621</v>
      </c>
      <c r="H144" s="73">
        <f t="shared" ref="H144:J144" si="36">SUM(H145)</f>
        <v>373</v>
      </c>
      <c r="I144" s="73">
        <f t="shared" si="36"/>
        <v>373</v>
      </c>
      <c r="J144" s="73">
        <f t="shared" si="36"/>
        <v>592.67999999999995</v>
      </c>
      <c r="K144" s="65">
        <f t="shared" si="29"/>
        <v>28.219664641082286</v>
      </c>
      <c r="L144" s="65">
        <f t="shared" si="30"/>
        <v>158.8954423592493</v>
      </c>
    </row>
    <row r="145" spans="2:12" x14ac:dyDescent="0.25">
      <c r="B145" s="10"/>
      <c r="C145" s="10"/>
      <c r="D145" s="7"/>
      <c r="E145" s="7">
        <v>4521</v>
      </c>
      <c r="F145" s="58" t="s">
        <v>168</v>
      </c>
      <c r="G145" s="73">
        <f>15824.24/7.5345</f>
        <v>2100.2375738270621</v>
      </c>
      <c r="H145" s="73">
        <v>373</v>
      </c>
      <c r="I145" s="82">
        <v>373</v>
      </c>
      <c r="J145" s="65">
        <v>592.67999999999995</v>
      </c>
      <c r="K145" s="65">
        <f t="shared" si="29"/>
        <v>28.219664641082286</v>
      </c>
      <c r="L145" s="65">
        <f t="shared" si="30"/>
        <v>158.8954423592493</v>
      </c>
    </row>
    <row r="146" spans="2:12" x14ac:dyDescent="0.25">
      <c r="B146" s="10"/>
      <c r="C146" s="10"/>
      <c r="D146" s="7"/>
      <c r="E146" s="7"/>
      <c r="F146" s="7"/>
      <c r="G146" s="4"/>
      <c r="H146" s="4"/>
      <c r="I146" s="5"/>
      <c r="J146" s="27"/>
      <c r="K146" s="65"/>
      <c r="L146" s="27"/>
    </row>
    <row r="149" spans="2:12" ht="15" customHeight="1" x14ac:dyDescent="0.25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</row>
    <row r="150" spans="2:12" x14ac:dyDescent="0.25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</row>
    <row r="151" spans="2:12" ht="4.5" customHeight="1" x14ac:dyDescent="0.25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</row>
  </sheetData>
  <mergeCells count="14">
    <mergeCell ref="B105:F105"/>
    <mergeCell ref="B106:F106"/>
    <mergeCell ref="B1:L1"/>
    <mergeCell ref="B2:L2"/>
    <mergeCell ref="B4:L4"/>
    <mergeCell ref="B6:L6"/>
    <mergeCell ref="B58:F58"/>
    <mergeCell ref="B9:F9"/>
    <mergeCell ref="B57:F57"/>
    <mergeCell ref="B8:F8"/>
    <mergeCell ref="B7:L7"/>
    <mergeCell ref="B5:L5"/>
    <mergeCell ref="B56:L56"/>
    <mergeCell ref="B3:L3"/>
  </mergeCells>
  <pageMargins left="0.70866141732283472" right="0.70866141732283472" top="0.35433070866141736" bottom="0.35433070866141736" header="0.31496062992125984" footer="0.31496062992125984"/>
  <pageSetup paperSize="9" scale="74" fitToHeight="0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40"/>
  <sheetViews>
    <sheetView workbookViewId="0">
      <selection activeCell="B4" sqref="B4:H20"/>
    </sheetView>
  </sheetViews>
  <sheetFormatPr defaultRowHeight="15" x14ac:dyDescent="0.25"/>
  <cols>
    <col min="2" max="2" width="37.7109375" customWidth="1"/>
    <col min="3" max="3" width="25.28515625" customWidth="1"/>
    <col min="4" max="4" width="25.28515625" hidden="1" customWidth="1"/>
    <col min="5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86" t="s">
        <v>44</v>
      </c>
      <c r="C2" s="86"/>
      <c r="D2" s="86"/>
      <c r="E2" s="86"/>
      <c r="F2" s="86"/>
      <c r="G2" s="86"/>
      <c r="H2" s="86"/>
    </row>
    <row r="3" spans="2:8" ht="18" x14ac:dyDescent="0.25">
      <c r="B3" s="48"/>
      <c r="C3" s="48"/>
      <c r="D3" s="48"/>
      <c r="E3" s="48"/>
      <c r="F3" s="49"/>
      <c r="G3" s="49"/>
      <c r="H3" s="49"/>
    </row>
    <row r="4" spans="2:8" ht="33.75" customHeight="1" x14ac:dyDescent="0.25">
      <c r="B4" s="33" t="s">
        <v>7</v>
      </c>
      <c r="C4" s="33" t="s">
        <v>204</v>
      </c>
      <c r="D4" s="33" t="s">
        <v>60</v>
      </c>
      <c r="E4" s="33" t="s">
        <v>60</v>
      </c>
      <c r="F4" s="33" t="s">
        <v>205</v>
      </c>
      <c r="G4" s="33" t="s">
        <v>28</v>
      </c>
      <c r="H4" s="33" t="s">
        <v>58</v>
      </c>
    </row>
    <row r="5" spans="2:8" x14ac:dyDescent="0.25">
      <c r="B5" s="33">
        <v>1</v>
      </c>
      <c r="C5" s="35">
        <v>2</v>
      </c>
      <c r="D5" s="35">
        <v>3</v>
      </c>
      <c r="E5" s="35">
        <v>3</v>
      </c>
      <c r="F5" s="35">
        <v>4</v>
      </c>
      <c r="G5" s="35" t="s">
        <v>212</v>
      </c>
      <c r="H5" s="35" t="s">
        <v>213</v>
      </c>
    </row>
    <row r="6" spans="2:8" x14ac:dyDescent="0.25">
      <c r="B6" s="6" t="s">
        <v>54</v>
      </c>
      <c r="C6" s="77">
        <f>SUM(C7,C9,C11,C13,C17,C19)</f>
        <v>11774481.284756783</v>
      </c>
      <c r="D6" s="77">
        <f>SUM(D7,D9,D11,D13,D17,D19)</f>
        <v>11340284</v>
      </c>
      <c r="E6" s="77">
        <f>SUM(E7,E9,E11,E13,E17,E19)</f>
        <v>11340285</v>
      </c>
      <c r="F6" s="77">
        <f>SUM(F7,F9,F11,F13,F17,F19)</f>
        <v>11292245.850000001</v>
      </c>
      <c r="G6" s="65">
        <f>F6/C6*100</f>
        <v>95.904401874746853</v>
      </c>
      <c r="H6" s="65">
        <f>F6/E6*100</f>
        <v>99.576384985033457</v>
      </c>
    </row>
    <row r="7" spans="2:8" x14ac:dyDescent="0.25">
      <c r="B7" s="6" t="s">
        <v>18</v>
      </c>
      <c r="C7" s="73">
        <f>SUM(C8)</f>
        <v>849425.97385360673</v>
      </c>
      <c r="D7" s="73">
        <f t="shared" ref="D7:F7" si="0">SUM(D8)</f>
        <v>265446</v>
      </c>
      <c r="E7" s="73">
        <f t="shared" si="0"/>
        <v>265446</v>
      </c>
      <c r="F7" s="73">
        <f t="shared" si="0"/>
        <v>265446</v>
      </c>
      <c r="G7" s="65">
        <f t="shared" ref="G7:G28" si="1">F7/C7*100</f>
        <v>31.250045109375002</v>
      </c>
      <c r="H7" s="65">
        <f t="shared" ref="H7:H28" si="2">F7/E7*100</f>
        <v>100</v>
      </c>
    </row>
    <row r="8" spans="2:8" x14ac:dyDescent="0.25">
      <c r="B8" s="18" t="s">
        <v>19</v>
      </c>
      <c r="C8" s="73">
        <f>6400000/7.5345</f>
        <v>849425.97385360673</v>
      </c>
      <c r="D8" s="73">
        <v>265446</v>
      </c>
      <c r="E8" s="73">
        <v>265446</v>
      </c>
      <c r="F8" s="73">
        <v>265446</v>
      </c>
      <c r="G8" s="65">
        <f t="shared" si="1"/>
        <v>31.250045109375002</v>
      </c>
      <c r="H8" s="65">
        <f t="shared" si="2"/>
        <v>100</v>
      </c>
    </row>
    <row r="9" spans="2:8" x14ac:dyDescent="0.25">
      <c r="B9" s="6" t="s">
        <v>24</v>
      </c>
      <c r="C9" s="73">
        <f>SUM(C10)</f>
        <v>5896098.538721879</v>
      </c>
      <c r="D9" s="73">
        <f t="shared" ref="D9:F9" si="3">SUM(D10)</f>
        <v>6376948</v>
      </c>
      <c r="E9" s="73">
        <f t="shared" si="3"/>
        <v>6276948</v>
      </c>
      <c r="F9" s="73">
        <f t="shared" si="3"/>
        <v>6591944.5599999996</v>
      </c>
      <c r="G9" s="65">
        <f t="shared" si="1"/>
        <v>111.80180447643879</v>
      </c>
      <c r="H9" s="65">
        <f t="shared" si="2"/>
        <v>105.01830762338639</v>
      </c>
    </row>
    <row r="10" spans="2:8" x14ac:dyDescent="0.25">
      <c r="B10" s="20" t="s">
        <v>25</v>
      </c>
      <c r="C10" s="73">
        <f>44424154.44/7.5345</f>
        <v>5896098.538721879</v>
      </c>
      <c r="D10" s="73">
        <v>6376948</v>
      </c>
      <c r="E10" s="73">
        <f>6267012+9936</f>
        <v>6276948</v>
      </c>
      <c r="F10" s="73">
        <v>6591944.5599999996</v>
      </c>
      <c r="G10" s="65">
        <f t="shared" si="1"/>
        <v>111.80180447643879</v>
      </c>
      <c r="H10" s="65">
        <f t="shared" si="2"/>
        <v>105.01830762338639</v>
      </c>
    </row>
    <row r="11" spans="2:8" x14ac:dyDescent="0.25">
      <c r="B11" s="6" t="s">
        <v>169</v>
      </c>
      <c r="C11" s="73">
        <f>SUM(C12)</f>
        <v>3699088.6176919504</v>
      </c>
      <c r="D11" s="73">
        <f t="shared" ref="D11:F11" si="4">SUM(D12)</f>
        <v>4258434</v>
      </c>
      <c r="E11" s="73">
        <f t="shared" si="4"/>
        <v>4258434</v>
      </c>
      <c r="F11" s="73">
        <f t="shared" si="4"/>
        <v>4157161.68</v>
      </c>
      <c r="G11" s="65">
        <f t="shared" si="1"/>
        <v>112.38340330959318</v>
      </c>
      <c r="H11" s="65">
        <f t="shared" si="2"/>
        <v>97.621841268409938</v>
      </c>
    </row>
    <row r="12" spans="2:8" x14ac:dyDescent="0.25">
      <c r="B12" s="20" t="s">
        <v>170</v>
      </c>
      <c r="C12" s="73">
        <f>27870783.19/7.5345</f>
        <v>3699088.6176919504</v>
      </c>
      <c r="D12" s="73">
        <v>4258434</v>
      </c>
      <c r="E12" s="73">
        <v>4258434</v>
      </c>
      <c r="F12" s="73">
        <v>4157161.68</v>
      </c>
      <c r="G12" s="65">
        <f t="shared" si="1"/>
        <v>112.38340330959318</v>
      </c>
      <c r="H12" s="65">
        <f t="shared" si="2"/>
        <v>97.621841268409938</v>
      </c>
    </row>
    <row r="13" spans="2:8" x14ac:dyDescent="0.25">
      <c r="B13" s="6" t="s">
        <v>171</v>
      </c>
      <c r="C13" s="73">
        <f>SUM(C14:C16)</f>
        <v>1245599.9960183157</v>
      </c>
      <c r="D13" s="73">
        <f t="shared" ref="D13:F13" si="5">SUM(D14:D16)</f>
        <v>343027</v>
      </c>
      <c r="E13" s="73">
        <f t="shared" si="5"/>
        <v>439974</v>
      </c>
      <c r="F13" s="73">
        <f t="shared" si="5"/>
        <v>259298.96999999997</v>
      </c>
      <c r="G13" s="65">
        <f t="shared" si="1"/>
        <v>20.817194189858295</v>
      </c>
      <c r="H13" s="65">
        <f t="shared" si="2"/>
        <v>58.935066617572851</v>
      </c>
    </row>
    <row r="14" spans="2:8" x14ac:dyDescent="0.25">
      <c r="B14" s="20" t="s">
        <v>172</v>
      </c>
      <c r="C14" s="73">
        <f>809863.48/7.5345</f>
        <v>107487.35549804234</v>
      </c>
      <c r="D14" s="73"/>
      <c r="E14" s="82">
        <v>92947</v>
      </c>
      <c r="F14" s="65">
        <v>92944.45</v>
      </c>
      <c r="G14" s="65">
        <f t="shared" si="1"/>
        <v>86.47012438750788</v>
      </c>
      <c r="H14" s="65">
        <f t="shared" si="2"/>
        <v>99.997256501016707</v>
      </c>
    </row>
    <row r="15" spans="2:8" x14ac:dyDescent="0.25">
      <c r="B15" s="20" t="s">
        <v>173</v>
      </c>
      <c r="C15" s="73">
        <f>3613753.31/7.5345</f>
        <v>479627.48822085076</v>
      </c>
      <c r="D15" s="73">
        <v>343027</v>
      </c>
      <c r="E15" s="82">
        <v>347027</v>
      </c>
      <c r="F15" s="65">
        <v>166354.51999999999</v>
      </c>
      <c r="G15" s="65">
        <f t="shared" si="1"/>
        <v>34.684108831435424</v>
      </c>
      <c r="H15" s="65">
        <f t="shared" si="2"/>
        <v>47.93705388917865</v>
      </c>
    </row>
    <row r="16" spans="2:8" x14ac:dyDescent="0.25">
      <c r="B16" s="20" t="s">
        <v>174</v>
      </c>
      <c r="C16" s="73">
        <f>4961356.38/7.5345</f>
        <v>658485.15229942265</v>
      </c>
      <c r="D16" s="73"/>
      <c r="E16" s="82"/>
      <c r="F16" s="65"/>
      <c r="G16" s="65">
        <f t="shared" si="1"/>
        <v>0</v>
      </c>
      <c r="H16" s="65"/>
    </row>
    <row r="17" spans="2:8" x14ac:dyDescent="0.25">
      <c r="B17" s="6" t="s">
        <v>177</v>
      </c>
      <c r="C17" s="73">
        <f>SUM(C18)</f>
        <v>13727.898334328755</v>
      </c>
      <c r="D17" s="73">
        <f t="shared" ref="D17" si="6">SUM(D18)</f>
        <v>3523</v>
      </c>
      <c r="E17" s="73">
        <f t="shared" ref="E17" si="7">SUM(E18)</f>
        <v>6577</v>
      </c>
      <c r="F17" s="73">
        <f t="shared" ref="F17" si="8">SUM(F18)</f>
        <v>6574.58</v>
      </c>
      <c r="G17" s="65">
        <f t="shared" si="1"/>
        <v>47.892108754617126</v>
      </c>
      <c r="H17" s="65">
        <f t="shared" si="2"/>
        <v>99.963205108712188</v>
      </c>
    </row>
    <row r="18" spans="2:8" x14ac:dyDescent="0.25">
      <c r="B18" s="20" t="s">
        <v>178</v>
      </c>
      <c r="C18" s="73">
        <f>103432.85/7.5345</f>
        <v>13727.898334328755</v>
      </c>
      <c r="D18" s="73">
        <v>3523</v>
      </c>
      <c r="E18" s="73">
        <f>7575-998</f>
        <v>6577</v>
      </c>
      <c r="F18" s="73">
        <v>6574.58</v>
      </c>
      <c r="G18" s="65">
        <f t="shared" si="1"/>
        <v>47.892108754617126</v>
      </c>
      <c r="H18" s="65">
        <f t="shared" si="2"/>
        <v>99.963205108712188</v>
      </c>
    </row>
    <row r="19" spans="2:8" ht="38.25" x14ac:dyDescent="0.25">
      <c r="B19" s="13" t="s">
        <v>175</v>
      </c>
      <c r="C19" s="73">
        <f>SUM(C20)</f>
        <v>70540.260136704484</v>
      </c>
      <c r="D19" s="73">
        <f t="shared" ref="D19:F19" si="9">SUM(D20)</f>
        <v>92906</v>
      </c>
      <c r="E19" s="73">
        <f t="shared" si="9"/>
        <v>92906</v>
      </c>
      <c r="F19" s="73">
        <f t="shared" si="9"/>
        <v>11820.06</v>
      </c>
      <c r="G19" s="65">
        <f t="shared" si="1"/>
        <v>16.756473504766142</v>
      </c>
      <c r="H19" s="65">
        <f t="shared" si="2"/>
        <v>12.722601338987793</v>
      </c>
    </row>
    <row r="20" spans="2:8" ht="38.25" x14ac:dyDescent="0.25">
      <c r="B20" s="20" t="s">
        <v>176</v>
      </c>
      <c r="C20" s="73">
        <f>531485.59/7.5345</f>
        <v>70540.260136704484</v>
      </c>
      <c r="D20" s="73">
        <v>92906</v>
      </c>
      <c r="E20" s="82">
        <v>92906</v>
      </c>
      <c r="F20" s="65">
        <v>11820.06</v>
      </c>
      <c r="G20" s="65">
        <f t="shared" si="1"/>
        <v>16.756473504766142</v>
      </c>
      <c r="H20" s="65">
        <f t="shared" si="2"/>
        <v>12.722601338987793</v>
      </c>
    </row>
    <row r="21" spans="2:8" x14ac:dyDescent="0.25">
      <c r="B21" s="20"/>
      <c r="C21" s="73"/>
      <c r="D21" s="73"/>
      <c r="E21" s="82"/>
      <c r="F21" s="65"/>
      <c r="G21" s="65"/>
      <c r="H21" s="65"/>
    </row>
    <row r="22" spans="2:8" ht="15.75" customHeight="1" x14ac:dyDescent="0.25">
      <c r="B22" s="6" t="s">
        <v>55</v>
      </c>
      <c r="C22" s="76">
        <f>SUM(C23,C25,C27,C29,C33,C35)</f>
        <v>9564282.0080960896</v>
      </c>
      <c r="D22" s="76">
        <f t="shared" ref="D22:F22" si="10">SUM(D23,D25,D27,D29,D33,D35)</f>
        <v>11331347</v>
      </c>
      <c r="E22" s="76">
        <f t="shared" si="10"/>
        <v>11331347</v>
      </c>
      <c r="F22" s="76">
        <f t="shared" si="10"/>
        <v>11326833.040000001</v>
      </c>
      <c r="G22" s="66">
        <f t="shared" si="1"/>
        <v>118.42847200042748</v>
      </c>
      <c r="H22" s="66">
        <f t="shared" si="2"/>
        <v>99.960163959324518</v>
      </c>
    </row>
    <row r="23" spans="2:8" ht="15.75" customHeight="1" x14ac:dyDescent="0.25">
      <c r="B23" s="6" t="s">
        <v>18</v>
      </c>
      <c r="C23" s="73">
        <f>SUM(C24)</f>
        <v>849425.97385360673</v>
      </c>
      <c r="D23" s="73">
        <f t="shared" ref="D23:F23" si="11">SUM(D24)</f>
        <v>265446</v>
      </c>
      <c r="E23" s="73">
        <f t="shared" si="11"/>
        <v>265446</v>
      </c>
      <c r="F23" s="73">
        <f t="shared" si="11"/>
        <v>265446</v>
      </c>
      <c r="G23" s="65">
        <f t="shared" si="1"/>
        <v>31.250045109375002</v>
      </c>
      <c r="H23" s="65">
        <f t="shared" si="2"/>
        <v>100</v>
      </c>
    </row>
    <row r="24" spans="2:8" x14ac:dyDescent="0.25">
      <c r="B24" s="18" t="s">
        <v>19</v>
      </c>
      <c r="C24" s="73">
        <f>6400000/7.5345</f>
        <v>849425.97385360673</v>
      </c>
      <c r="D24" s="73">
        <v>265446</v>
      </c>
      <c r="E24" s="73">
        <v>265446</v>
      </c>
      <c r="F24" s="73">
        <v>265446</v>
      </c>
      <c r="G24" s="65">
        <f t="shared" si="1"/>
        <v>31.250045109375002</v>
      </c>
      <c r="H24" s="65">
        <f t="shared" si="2"/>
        <v>100</v>
      </c>
    </row>
    <row r="25" spans="2:8" x14ac:dyDescent="0.25">
      <c r="B25" s="6" t="s">
        <v>24</v>
      </c>
      <c r="C25" s="73">
        <f>SUM(C26)</f>
        <v>4125437.1265511978</v>
      </c>
      <c r="D25" s="73">
        <f t="shared" ref="D25:F25" si="12">SUM(D26)</f>
        <v>6376475</v>
      </c>
      <c r="E25" s="73">
        <f t="shared" si="12"/>
        <v>6267012</v>
      </c>
      <c r="F25" s="73">
        <f t="shared" si="12"/>
        <v>6394882.04</v>
      </c>
      <c r="G25" s="65">
        <f t="shared" si="1"/>
        <v>155.01101686516364</v>
      </c>
      <c r="H25" s="65">
        <f t="shared" si="2"/>
        <v>102.04036692446097</v>
      </c>
    </row>
    <row r="26" spans="2:8" x14ac:dyDescent="0.25">
      <c r="B26" s="20" t="s">
        <v>25</v>
      </c>
      <c r="C26" s="73">
        <f>31083106.03/7.5345</f>
        <v>4125437.1265511978</v>
      </c>
      <c r="D26" s="73">
        <f>5898847+477628</f>
        <v>6376475</v>
      </c>
      <c r="E26" s="73">
        <v>6267012</v>
      </c>
      <c r="F26" s="73">
        <v>6394882.04</v>
      </c>
      <c r="G26" s="65">
        <f t="shared" si="1"/>
        <v>155.01101686516364</v>
      </c>
      <c r="H26" s="65">
        <f t="shared" si="2"/>
        <v>102.04036692446097</v>
      </c>
    </row>
    <row r="27" spans="2:8" x14ac:dyDescent="0.25">
      <c r="B27" s="6" t="s">
        <v>169</v>
      </c>
      <c r="C27" s="73">
        <f>SUM(C28)</f>
        <v>3247167.7244674494</v>
      </c>
      <c r="D27" s="73">
        <f t="shared" ref="D27:F27" si="13">SUM(D28)</f>
        <v>4249970</v>
      </c>
      <c r="E27" s="73">
        <f t="shared" si="13"/>
        <v>4258434</v>
      </c>
      <c r="F27" s="73">
        <f t="shared" si="13"/>
        <v>4386573.21</v>
      </c>
      <c r="G27" s="65">
        <f t="shared" si="1"/>
        <v>135.08920949623624</v>
      </c>
      <c r="H27" s="65">
        <f t="shared" si="2"/>
        <v>103.00906882670952</v>
      </c>
    </row>
    <row r="28" spans="2:8" x14ac:dyDescent="0.25">
      <c r="B28" s="20" t="s">
        <v>170</v>
      </c>
      <c r="C28" s="73">
        <f>24465785.22/7.5345</f>
        <v>3247167.7244674494</v>
      </c>
      <c r="D28" s="73">
        <f>4028453+221517</f>
        <v>4249970</v>
      </c>
      <c r="E28" s="73">
        <v>4258434</v>
      </c>
      <c r="F28" s="73">
        <v>4386573.21</v>
      </c>
      <c r="G28" s="65">
        <f t="shared" si="1"/>
        <v>135.08920949623624</v>
      </c>
      <c r="H28" s="65">
        <f t="shared" si="2"/>
        <v>103.00906882670952</v>
      </c>
    </row>
    <row r="29" spans="2:8" x14ac:dyDescent="0.25">
      <c r="B29" s="6" t="s">
        <v>171</v>
      </c>
      <c r="C29" s="73">
        <f>SUM(C30:C32)</f>
        <v>1249501.3975711726</v>
      </c>
      <c r="D29" s="73">
        <f t="shared" ref="D29:F29" si="14">SUM(D30:D32)</f>
        <v>343027</v>
      </c>
      <c r="E29" s="73">
        <f t="shared" si="14"/>
        <v>439974</v>
      </c>
      <c r="F29" s="73">
        <f t="shared" si="14"/>
        <v>259483.57</v>
      </c>
      <c r="G29" s="65">
        <f t="shared" ref="G29:G36" si="15">F29/C29*100</f>
        <v>20.766969169013645</v>
      </c>
      <c r="H29" s="65">
        <f t="shared" ref="H29:H36" si="16">F29/E29*100</f>
        <v>58.977023642306136</v>
      </c>
    </row>
    <row r="30" spans="2:8" x14ac:dyDescent="0.25">
      <c r="B30" s="20" t="s">
        <v>172</v>
      </c>
      <c r="C30" s="73">
        <f>809863.48/7.5345</f>
        <v>107487.35549804234</v>
      </c>
      <c r="D30" s="73"/>
      <c r="E30" s="73">
        <v>92947</v>
      </c>
      <c r="F30" s="73">
        <v>92944.45</v>
      </c>
      <c r="G30" s="65">
        <f t="shared" ref="G30" si="17">F30/C30*100</f>
        <v>86.47012438750788</v>
      </c>
      <c r="H30" s="65">
        <f t="shared" ref="H30" si="18">F30/E30*100</f>
        <v>99.997256501016707</v>
      </c>
    </row>
    <row r="31" spans="2:8" x14ac:dyDescent="0.25">
      <c r="B31" s="20" t="s">
        <v>173</v>
      </c>
      <c r="C31" s="73">
        <f>3643148.42/7.5345</f>
        <v>483528.88977370755</v>
      </c>
      <c r="D31" s="73">
        <f>301649+41378</f>
        <v>343027</v>
      </c>
      <c r="E31" s="73">
        <v>347027</v>
      </c>
      <c r="F31" s="73">
        <v>166539.12</v>
      </c>
      <c r="G31" s="65">
        <f t="shared" si="15"/>
        <v>34.442434262395494</v>
      </c>
      <c r="H31" s="65">
        <f t="shared" si="16"/>
        <v>47.990248597371384</v>
      </c>
    </row>
    <row r="32" spans="2:8" x14ac:dyDescent="0.25">
      <c r="B32" s="20" t="s">
        <v>174</v>
      </c>
      <c r="C32" s="73">
        <f>4961356.38/7.5345</f>
        <v>658485.15229942265</v>
      </c>
      <c r="D32" s="73"/>
      <c r="E32" s="73">
        <v>0</v>
      </c>
      <c r="F32" s="73">
        <v>0</v>
      </c>
      <c r="G32" s="65">
        <f t="shared" si="15"/>
        <v>0</v>
      </c>
      <c r="H32" s="65"/>
    </row>
    <row r="33" spans="2:11" x14ac:dyDescent="0.25">
      <c r="B33" s="6" t="s">
        <v>177</v>
      </c>
      <c r="C33" s="73">
        <f>SUM(C34)</f>
        <v>18927.025018249387</v>
      </c>
      <c r="D33" s="73">
        <f t="shared" ref="D33:F33" si="19">SUM(D34)</f>
        <v>3523</v>
      </c>
      <c r="E33" s="73">
        <f t="shared" si="19"/>
        <v>7575</v>
      </c>
      <c r="F33" s="73">
        <f t="shared" si="19"/>
        <v>8628.16</v>
      </c>
      <c r="G33" s="65">
        <f t="shared" si="15"/>
        <v>45.586456358993296</v>
      </c>
      <c r="H33" s="65">
        <f t="shared" si="16"/>
        <v>113.90310231023102</v>
      </c>
    </row>
    <row r="34" spans="2:11" x14ac:dyDescent="0.25">
      <c r="B34" s="20" t="s">
        <v>178</v>
      </c>
      <c r="C34" s="73">
        <f>142605.67/7.5345</f>
        <v>18927.025018249387</v>
      </c>
      <c r="D34" s="73">
        <v>3523</v>
      </c>
      <c r="E34" s="73">
        <v>7575</v>
      </c>
      <c r="F34" s="73">
        <v>8628.16</v>
      </c>
      <c r="G34" s="65">
        <f t="shared" si="15"/>
        <v>45.586456358993296</v>
      </c>
      <c r="H34" s="65">
        <f t="shared" si="16"/>
        <v>113.90310231023102</v>
      </c>
    </row>
    <row r="35" spans="2:11" ht="38.25" x14ac:dyDescent="0.25">
      <c r="B35" s="13" t="s">
        <v>175</v>
      </c>
      <c r="C35" s="73">
        <f>SUM(C36)</f>
        <v>73822.760634415012</v>
      </c>
      <c r="D35" s="73">
        <f t="shared" ref="D35:F35" si="20">SUM(D36)</f>
        <v>92906</v>
      </c>
      <c r="E35" s="73">
        <f t="shared" si="20"/>
        <v>92906</v>
      </c>
      <c r="F35" s="73">
        <f t="shared" si="20"/>
        <v>11820.06</v>
      </c>
      <c r="G35" s="65">
        <f t="shared" si="15"/>
        <v>16.011403391611548</v>
      </c>
      <c r="H35" s="65">
        <f t="shared" si="16"/>
        <v>12.722601338987793</v>
      </c>
    </row>
    <row r="36" spans="2:11" ht="38.25" x14ac:dyDescent="0.25">
      <c r="B36" s="20" t="s">
        <v>176</v>
      </c>
      <c r="C36" s="73">
        <f>556217.59/7.5345</f>
        <v>73822.760634415012</v>
      </c>
      <c r="D36" s="73">
        <v>92906</v>
      </c>
      <c r="E36" s="82">
        <v>92906</v>
      </c>
      <c r="F36" s="65">
        <v>11820.06</v>
      </c>
      <c r="G36" s="65">
        <f t="shared" si="15"/>
        <v>16.011403391611548</v>
      </c>
      <c r="H36" s="65">
        <f t="shared" si="16"/>
        <v>12.722601338987793</v>
      </c>
    </row>
    <row r="38" spans="2:11" ht="15" customHeight="1" x14ac:dyDescent="0.25">
      <c r="B38" s="29"/>
      <c r="C38" s="29"/>
      <c r="D38" s="29"/>
      <c r="E38" s="29"/>
      <c r="F38" s="29"/>
      <c r="G38" s="29"/>
      <c r="H38" s="29"/>
      <c r="I38" s="29"/>
      <c r="J38" s="29"/>
      <c r="K38" s="29"/>
    </row>
    <row r="39" spans="2:11" x14ac:dyDescent="0.25">
      <c r="B39" s="29"/>
      <c r="C39" s="29"/>
      <c r="D39" s="29"/>
      <c r="E39" s="29"/>
      <c r="F39" s="29"/>
      <c r="G39" s="29"/>
      <c r="H39" s="29"/>
      <c r="I39" s="29"/>
      <c r="J39" s="29"/>
      <c r="K39" s="29"/>
    </row>
    <row r="40" spans="2:11" x14ac:dyDescent="0.25">
      <c r="B40" s="29"/>
      <c r="C40" s="29"/>
      <c r="D40" s="29"/>
      <c r="E40" s="29"/>
      <c r="F40" s="29"/>
      <c r="G40" s="29"/>
      <c r="H40" s="29"/>
      <c r="I40" s="29"/>
      <c r="J40" s="29"/>
      <c r="K40" s="29"/>
    </row>
  </sheetData>
  <mergeCells count="1">
    <mergeCell ref="B2:H2"/>
  </mergeCells>
  <phoneticPr fontId="21" type="noConversion"/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>
      <selection activeCell="E15" sqref="E15"/>
    </sheetView>
  </sheetViews>
  <sheetFormatPr defaultRowHeight="15" x14ac:dyDescent="0.25"/>
  <cols>
    <col min="2" max="2" width="37.7109375" customWidth="1"/>
    <col min="3" max="3" width="25.28515625" customWidth="1"/>
    <col min="4" max="4" width="25.28515625" hidden="1" customWidth="1"/>
    <col min="5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86" t="s">
        <v>45</v>
      </c>
      <c r="C2" s="86"/>
      <c r="D2" s="86"/>
      <c r="E2" s="86"/>
      <c r="F2" s="86"/>
      <c r="G2" s="86"/>
      <c r="H2" s="86"/>
    </row>
    <row r="3" spans="2:8" ht="18" x14ac:dyDescent="0.25">
      <c r="B3" s="48"/>
      <c r="C3" s="48"/>
      <c r="D3" s="48"/>
      <c r="E3" s="48"/>
      <c r="F3" s="49"/>
      <c r="G3" s="49"/>
      <c r="H3" s="49"/>
    </row>
    <row r="4" spans="2:8" ht="25.5" x14ac:dyDescent="0.25">
      <c r="B4" s="33" t="s">
        <v>7</v>
      </c>
      <c r="C4" s="33" t="s">
        <v>208</v>
      </c>
      <c r="D4" s="33" t="s">
        <v>60</v>
      </c>
      <c r="E4" s="33" t="s">
        <v>60</v>
      </c>
      <c r="F4" s="33" t="s">
        <v>209</v>
      </c>
      <c r="G4" s="33" t="s">
        <v>28</v>
      </c>
      <c r="H4" s="33" t="s">
        <v>58</v>
      </c>
    </row>
    <row r="5" spans="2:8" x14ac:dyDescent="0.25">
      <c r="B5" s="35">
        <v>1</v>
      </c>
      <c r="C5" s="35">
        <v>2</v>
      </c>
      <c r="D5" s="35">
        <v>3</v>
      </c>
      <c r="E5" s="35">
        <v>3</v>
      </c>
      <c r="F5" s="35">
        <v>4</v>
      </c>
      <c r="G5" s="35" t="s">
        <v>210</v>
      </c>
      <c r="H5" s="35" t="s">
        <v>211</v>
      </c>
    </row>
    <row r="6" spans="2:8" ht="15.75" customHeight="1" x14ac:dyDescent="0.25">
      <c r="B6" s="6" t="s">
        <v>55</v>
      </c>
      <c r="C6" s="73">
        <f>SUM(C7)</f>
        <v>9564282.0099999998</v>
      </c>
      <c r="D6" s="73">
        <f t="shared" ref="D6:F7" si="0">SUM(D7)</f>
        <v>11331347</v>
      </c>
      <c r="E6" s="73">
        <f t="shared" si="0"/>
        <v>11331347</v>
      </c>
      <c r="F6" s="73">
        <f t="shared" si="0"/>
        <v>11326833.039999999</v>
      </c>
      <c r="G6" s="65">
        <f>F6/C6*100</f>
        <v>118.42847197685256</v>
      </c>
      <c r="H6" s="65">
        <f>F6/E6*100</f>
        <v>99.960163959324504</v>
      </c>
    </row>
    <row r="7" spans="2:8" ht="15.75" customHeight="1" x14ac:dyDescent="0.25">
      <c r="B7" s="6" t="s">
        <v>179</v>
      </c>
      <c r="C7" s="73">
        <f>SUM(C8)</f>
        <v>9564282.0099999998</v>
      </c>
      <c r="D7" s="73">
        <f t="shared" si="0"/>
        <v>11331347</v>
      </c>
      <c r="E7" s="73">
        <f t="shared" si="0"/>
        <v>11331347</v>
      </c>
      <c r="F7" s="73">
        <f t="shared" si="0"/>
        <v>11326833.039999999</v>
      </c>
      <c r="G7" s="65">
        <f>F7/C7*100</f>
        <v>118.42847197685256</v>
      </c>
      <c r="H7" s="65">
        <f t="shared" ref="H7:H8" si="1">F7/E7*100</f>
        <v>99.960163959324504</v>
      </c>
    </row>
    <row r="8" spans="2:8" x14ac:dyDescent="0.25">
      <c r="B8" s="12" t="s">
        <v>180</v>
      </c>
      <c r="C8" s="73">
        <v>9564282.0099999998</v>
      </c>
      <c r="D8" s="73">
        <v>11331347</v>
      </c>
      <c r="E8" s="73">
        <v>11331347</v>
      </c>
      <c r="F8" s="65">
        <v>11326833.039999999</v>
      </c>
      <c r="G8" s="65">
        <f>F8/C8*100</f>
        <v>118.42847197685256</v>
      </c>
      <c r="H8" s="65">
        <f t="shared" si="1"/>
        <v>99.960163959324504</v>
      </c>
    </row>
    <row r="10" spans="2:8" x14ac:dyDescent="0.25">
      <c r="B10" s="29"/>
      <c r="C10" s="29"/>
      <c r="D10" s="29"/>
      <c r="E10" s="29"/>
      <c r="F10" s="29"/>
      <c r="G10" s="29"/>
      <c r="H10" s="29"/>
    </row>
    <row r="11" spans="2:8" x14ac:dyDescent="0.25">
      <c r="B11" s="29"/>
      <c r="C11" s="29"/>
      <c r="D11" s="29"/>
      <c r="E11" s="29"/>
      <c r="F11" s="29"/>
      <c r="G11" s="29"/>
      <c r="H11" s="29"/>
    </row>
    <row r="12" spans="2:8" x14ac:dyDescent="0.25">
      <c r="B12" s="29"/>
      <c r="C12" s="29"/>
      <c r="D12" s="29"/>
      <c r="E12" s="29"/>
      <c r="F12" s="29"/>
      <c r="G12" s="29"/>
      <c r="H12" s="29"/>
    </row>
  </sheetData>
  <mergeCells count="1">
    <mergeCell ref="B2:H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2"/>
  <sheetViews>
    <sheetView workbookViewId="0">
      <selection activeCell="J8" sqref="J8"/>
    </sheetView>
  </sheetViews>
  <sheetFormatPr defaultRowHeight="15" x14ac:dyDescent="0.25"/>
  <cols>
    <col min="1" max="1" width="3.85546875" customWidth="1"/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8" width="25.28515625" customWidth="1"/>
    <col min="9" max="9" width="25.28515625" hidden="1" customWidth="1"/>
    <col min="10" max="10" width="25.28515625" customWidth="1"/>
    <col min="11" max="11" width="15.7109375" customWidth="1"/>
    <col min="12" max="12" width="14.2851562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25">
      <c r="B2" s="86" t="s">
        <v>11</v>
      </c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2:12" ht="18" x14ac:dyDescent="0.25">
      <c r="B3" s="48"/>
      <c r="C3" s="48"/>
      <c r="D3" s="48"/>
      <c r="E3" s="48"/>
      <c r="F3" s="48"/>
      <c r="G3" s="48"/>
      <c r="H3" s="48"/>
      <c r="I3" s="48"/>
      <c r="J3" s="49"/>
      <c r="K3" s="49"/>
      <c r="L3" s="49"/>
    </row>
    <row r="4" spans="2:12" ht="18" customHeight="1" x14ac:dyDescent="0.25">
      <c r="B4" s="86" t="s">
        <v>62</v>
      </c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2:12" ht="15.75" customHeight="1" x14ac:dyDescent="0.25">
      <c r="B5" s="86" t="s">
        <v>46</v>
      </c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2:12" ht="18" x14ac:dyDescent="0.25">
      <c r="B6" s="48"/>
      <c r="C6" s="48"/>
      <c r="D6" s="48"/>
      <c r="E6" s="48"/>
      <c r="F6" s="48"/>
      <c r="G6" s="48"/>
      <c r="H6" s="48"/>
      <c r="I6" s="48"/>
      <c r="J6" s="49"/>
      <c r="K6" s="49"/>
      <c r="L6" s="49"/>
    </row>
    <row r="7" spans="2:12" ht="25.5" customHeight="1" x14ac:dyDescent="0.25">
      <c r="B7" s="111" t="s">
        <v>7</v>
      </c>
      <c r="C7" s="112"/>
      <c r="D7" s="112"/>
      <c r="E7" s="112"/>
      <c r="F7" s="113"/>
      <c r="G7" s="36" t="s">
        <v>204</v>
      </c>
      <c r="H7" s="36" t="s">
        <v>60</v>
      </c>
      <c r="I7" s="36" t="s">
        <v>57</v>
      </c>
      <c r="J7" s="36" t="s">
        <v>205</v>
      </c>
      <c r="K7" s="36" t="s">
        <v>28</v>
      </c>
      <c r="L7" s="36" t="s">
        <v>58</v>
      </c>
    </row>
    <row r="8" spans="2:12" x14ac:dyDescent="0.25">
      <c r="B8" s="111">
        <v>1</v>
      </c>
      <c r="C8" s="112"/>
      <c r="D8" s="112"/>
      <c r="E8" s="112"/>
      <c r="F8" s="113"/>
      <c r="G8" s="37">
        <v>2</v>
      </c>
      <c r="H8" s="37">
        <v>3</v>
      </c>
      <c r="I8" s="37">
        <v>4</v>
      </c>
      <c r="J8" s="37">
        <v>5</v>
      </c>
      <c r="K8" s="37" t="s">
        <v>41</v>
      </c>
      <c r="L8" s="37" t="s">
        <v>42</v>
      </c>
    </row>
    <row r="9" spans="2:12" ht="25.5" x14ac:dyDescent="0.25">
      <c r="B9" s="6">
        <v>8</v>
      </c>
      <c r="C9" s="6"/>
      <c r="D9" s="6"/>
      <c r="E9" s="6"/>
      <c r="F9" s="6" t="s">
        <v>8</v>
      </c>
      <c r="G9" s="4">
        <v>0</v>
      </c>
      <c r="H9" s="4">
        <v>0</v>
      </c>
      <c r="I9" s="4">
        <v>0</v>
      </c>
      <c r="J9" s="27">
        <v>0</v>
      </c>
      <c r="K9" s="27"/>
      <c r="L9" s="27"/>
    </row>
    <row r="10" spans="2:12" x14ac:dyDescent="0.25">
      <c r="B10" s="6"/>
      <c r="C10" s="10">
        <v>84</v>
      </c>
      <c r="D10" s="10"/>
      <c r="E10" s="10"/>
      <c r="F10" s="10" t="s">
        <v>13</v>
      </c>
      <c r="G10" s="4"/>
      <c r="H10" s="4"/>
      <c r="I10" s="4"/>
      <c r="J10" s="27"/>
      <c r="K10" s="27"/>
      <c r="L10" s="27"/>
    </row>
    <row r="11" spans="2:12" ht="51" x14ac:dyDescent="0.25">
      <c r="B11" s="7"/>
      <c r="C11" s="7"/>
      <c r="D11" s="7">
        <v>841</v>
      </c>
      <c r="E11" s="7"/>
      <c r="F11" s="21" t="s">
        <v>47</v>
      </c>
      <c r="G11" s="4"/>
      <c r="H11" s="4"/>
      <c r="I11" s="4"/>
      <c r="J11" s="27"/>
      <c r="K11" s="27"/>
      <c r="L11" s="27"/>
    </row>
    <row r="12" spans="2:12" ht="25.5" x14ac:dyDescent="0.25">
      <c r="B12" s="7"/>
      <c r="C12" s="7"/>
      <c r="D12" s="7"/>
      <c r="E12" s="7">
        <v>8413</v>
      </c>
      <c r="F12" s="21" t="s">
        <v>48</v>
      </c>
      <c r="G12" s="4"/>
      <c r="H12" s="4"/>
      <c r="I12" s="4"/>
      <c r="J12" s="27"/>
      <c r="K12" s="27"/>
      <c r="L12" s="27"/>
    </row>
    <row r="13" spans="2:12" x14ac:dyDescent="0.25">
      <c r="B13" s="7"/>
      <c r="C13" s="7"/>
      <c r="D13" s="7"/>
      <c r="E13" s="8" t="s">
        <v>21</v>
      </c>
      <c r="F13" s="12"/>
      <c r="G13" s="4"/>
      <c r="H13" s="4"/>
      <c r="I13" s="4"/>
      <c r="J13" s="27"/>
      <c r="K13" s="27"/>
      <c r="L13" s="27"/>
    </row>
    <row r="14" spans="2:12" ht="25.5" x14ac:dyDescent="0.25">
      <c r="B14" s="9">
        <v>5</v>
      </c>
      <c r="C14" s="9"/>
      <c r="D14" s="9"/>
      <c r="E14" s="9"/>
      <c r="F14" s="13" t="s">
        <v>9</v>
      </c>
      <c r="G14" s="4">
        <v>0</v>
      </c>
      <c r="H14" s="4">
        <v>0</v>
      </c>
      <c r="I14" s="4">
        <v>0</v>
      </c>
      <c r="J14" s="27">
        <v>0</v>
      </c>
      <c r="K14" s="27">
        <v>0</v>
      </c>
      <c r="L14" s="27">
        <v>0</v>
      </c>
    </row>
    <row r="15" spans="2:12" ht="25.5" x14ac:dyDescent="0.25">
      <c r="B15" s="10"/>
      <c r="C15" s="10">
        <v>54</v>
      </c>
      <c r="D15" s="10"/>
      <c r="E15" s="10"/>
      <c r="F15" s="14" t="s">
        <v>14</v>
      </c>
      <c r="G15" s="4"/>
      <c r="H15" s="4"/>
      <c r="I15" s="5"/>
      <c r="J15" s="27"/>
      <c r="K15" s="27"/>
      <c r="L15" s="27"/>
    </row>
    <row r="16" spans="2:12" ht="63.75" x14ac:dyDescent="0.25">
      <c r="B16" s="10"/>
      <c r="C16" s="10"/>
      <c r="D16" s="10">
        <v>541</v>
      </c>
      <c r="E16" s="21"/>
      <c r="F16" s="21" t="s">
        <v>49</v>
      </c>
      <c r="G16" s="4"/>
      <c r="H16" s="4"/>
      <c r="I16" s="5"/>
      <c r="J16" s="27"/>
      <c r="K16" s="27"/>
      <c r="L16" s="27"/>
    </row>
    <row r="17" spans="2:12" ht="38.25" x14ac:dyDescent="0.25">
      <c r="B17" s="10"/>
      <c r="C17" s="10"/>
      <c r="D17" s="10"/>
      <c r="E17" s="21">
        <v>5413</v>
      </c>
      <c r="F17" s="21" t="s">
        <v>50</v>
      </c>
      <c r="G17" s="4"/>
      <c r="H17" s="4"/>
      <c r="I17" s="5"/>
      <c r="J17" s="27"/>
      <c r="K17" s="27"/>
      <c r="L17" s="27"/>
    </row>
    <row r="18" spans="2:12" x14ac:dyDescent="0.25">
      <c r="B18" s="11"/>
      <c r="C18" s="9"/>
      <c r="D18" s="9"/>
      <c r="E18" s="9"/>
      <c r="F18" s="13" t="s">
        <v>21</v>
      </c>
      <c r="G18" s="4"/>
      <c r="H18" s="4"/>
      <c r="I18" s="4"/>
      <c r="J18" s="27"/>
      <c r="K18" s="27"/>
      <c r="L18" s="27"/>
    </row>
    <row r="20" spans="2:12" x14ac:dyDescent="0.25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2:12" x14ac:dyDescent="0.25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2:12" x14ac:dyDescent="0.25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8"/>
  <sheetViews>
    <sheetView workbookViewId="0">
      <selection activeCell="F5" sqref="F5"/>
    </sheetView>
  </sheetViews>
  <sheetFormatPr defaultRowHeight="15" x14ac:dyDescent="0.25"/>
  <cols>
    <col min="2" max="2" width="37.7109375" customWidth="1"/>
    <col min="3" max="4" width="25.28515625" customWidth="1"/>
    <col min="5" max="5" width="25.28515625" hidden="1" customWidth="1"/>
    <col min="6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86" t="s">
        <v>51</v>
      </c>
      <c r="C2" s="86"/>
      <c r="D2" s="86"/>
      <c r="E2" s="86"/>
      <c r="F2" s="86"/>
      <c r="G2" s="86"/>
      <c r="H2" s="86"/>
    </row>
    <row r="3" spans="2:8" ht="18" x14ac:dyDescent="0.25">
      <c r="B3" s="48"/>
      <c r="C3" s="48"/>
      <c r="D3" s="48"/>
      <c r="E3" s="48"/>
      <c r="F3" s="49"/>
      <c r="G3" s="49"/>
      <c r="H3" s="49"/>
    </row>
    <row r="4" spans="2:8" ht="25.5" x14ac:dyDescent="0.25">
      <c r="B4" s="33" t="s">
        <v>7</v>
      </c>
      <c r="C4" s="33" t="s">
        <v>217</v>
      </c>
      <c r="D4" s="33" t="s">
        <v>60</v>
      </c>
      <c r="E4" s="33" t="s">
        <v>57</v>
      </c>
      <c r="F4" s="33" t="s">
        <v>218</v>
      </c>
      <c r="G4" s="33" t="s">
        <v>28</v>
      </c>
      <c r="H4" s="33" t="s">
        <v>58</v>
      </c>
    </row>
    <row r="5" spans="2:8" x14ac:dyDescent="0.25">
      <c r="B5" s="33">
        <v>1</v>
      </c>
      <c r="C5" s="33">
        <v>2</v>
      </c>
      <c r="D5" s="33">
        <v>3</v>
      </c>
      <c r="E5" s="33">
        <v>4</v>
      </c>
      <c r="F5" s="33">
        <v>5</v>
      </c>
      <c r="G5" s="33" t="s">
        <v>41</v>
      </c>
      <c r="H5" s="33" t="s">
        <v>42</v>
      </c>
    </row>
    <row r="6" spans="2:8" x14ac:dyDescent="0.25">
      <c r="B6" s="6" t="s">
        <v>52</v>
      </c>
      <c r="C6" s="4">
        <v>0</v>
      </c>
      <c r="D6" s="4">
        <v>0</v>
      </c>
      <c r="E6" s="5">
        <v>0</v>
      </c>
      <c r="F6" s="27">
        <v>0</v>
      </c>
      <c r="G6" s="27">
        <v>0</v>
      </c>
      <c r="H6" s="27">
        <v>0</v>
      </c>
    </row>
    <row r="7" spans="2:8" x14ac:dyDescent="0.25">
      <c r="B7" s="6" t="s">
        <v>18</v>
      </c>
      <c r="C7" s="4"/>
      <c r="D7" s="4"/>
      <c r="E7" s="4"/>
      <c r="F7" s="27"/>
      <c r="G7" s="27"/>
      <c r="H7" s="27"/>
    </row>
    <row r="8" spans="2:8" x14ac:dyDescent="0.25">
      <c r="B8" s="18" t="s">
        <v>19</v>
      </c>
      <c r="C8" s="4"/>
      <c r="D8" s="4"/>
      <c r="E8" s="4"/>
      <c r="F8" s="27"/>
      <c r="G8" s="27"/>
      <c r="H8" s="27"/>
    </row>
    <row r="9" spans="2:8" x14ac:dyDescent="0.25">
      <c r="B9" s="19" t="s">
        <v>20</v>
      </c>
      <c r="C9" s="4"/>
      <c r="D9" s="4"/>
      <c r="E9" s="4"/>
      <c r="F9" s="27"/>
      <c r="G9" s="27"/>
      <c r="H9" s="27"/>
    </row>
    <row r="10" spans="2:8" x14ac:dyDescent="0.25">
      <c r="B10" s="19" t="s">
        <v>21</v>
      </c>
      <c r="C10" s="4"/>
      <c r="D10" s="4"/>
      <c r="E10" s="4"/>
      <c r="F10" s="27"/>
      <c r="G10" s="27"/>
      <c r="H10" s="27"/>
    </row>
    <row r="11" spans="2:8" x14ac:dyDescent="0.25">
      <c r="B11" s="6" t="s">
        <v>22</v>
      </c>
      <c r="C11" s="4"/>
      <c r="D11" s="4"/>
      <c r="E11" s="5"/>
      <c r="F11" s="27"/>
      <c r="G11" s="27"/>
      <c r="H11" s="27"/>
    </row>
    <row r="12" spans="2:8" x14ac:dyDescent="0.25">
      <c r="B12" s="20" t="s">
        <v>23</v>
      </c>
      <c r="C12" s="4"/>
      <c r="D12" s="4"/>
      <c r="E12" s="5"/>
      <c r="F12" s="27"/>
      <c r="G12" s="27"/>
      <c r="H12" s="27"/>
    </row>
    <row r="13" spans="2:8" x14ac:dyDescent="0.25">
      <c r="B13" s="6" t="s">
        <v>24</v>
      </c>
      <c r="C13" s="4"/>
      <c r="D13" s="4"/>
      <c r="E13" s="5"/>
      <c r="F13" s="27"/>
      <c r="G13" s="27"/>
      <c r="H13" s="27"/>
    </row>
    <row r="14" spans="2:8" x14ac:dyDescent="0.25">
      <c r="B14" s="20" t="s">
        <v>25</v>
      </c>
      <c r="C14" s="4"/>
      <c r="D14" s="4"/>
      <c r="E14" s="5"/>
      <c r="F14" s="27"/>
      <c r="G14" s="27"/>
      <c r="H14" s="27"/>
    </row>
    <row r="15" spans="2:8" x14ac:dyDescent="0.25">
      <c r="B15" s="10" t="s">
        <v>16</v>
      </c>
      <c r="C15" s="4"/>
      <c r="D15" s="4"/>
      <c r="E15" s="5"/>
      <c r="F15" s="27"/>
      <c r="G15" s="27"/>
      <c r="H15" s="27"/>
    </row>
    <row r="16" spans="2:8" x14ac:dyDescent="0.25">
      <c r="B16" s="20"/>
      <c r="C16" s="4"/>
      <c r="D16" s="4"/>
      <c r="E16" s="5"/>
      <c r="F16" s="27"/>
      <c r="G16" s="27"/>
      <c r="H16" s="27"/>
    </row>
    <row r="17" spans="2:8" ht="15.75" customHeight="1" x14ac:dyDescent="0.25">
      <c r="B17" s="6" t="s">
        <v>53</v>
      </c>
      <c r="C17" s="4">
        <v>0</v>
      </c>
      <c r="D17" s="4">
        <v>0</v>
      </c>
      <c r="E17" s="5">
        <v>0</v>
      </c>
      <c r="F17" s="27">
        <v>0</v>
      </c>
      <c r="G17" s="27">
        <v>0</v>
      </c>
      <c r="H17" s="27">
        <v>0</v>
      </c>
    </row>
    <row r="18" spans="2:8" ht="15.75" customHeight="1" x14ac:dyDescent="0.25">
      <c r="B18" s="6" t="s">
        <v>18</v>
      </c>
      <c r="C18" s="4"/>
      <c r="D18" s="4"/>
      <c r="E18" s="4"/>
      <c r="F18" s="27"/>
      <c r="G18" s="27"/>
      <c r="H18" s="27"/>
    </row>
    <row r="19" spans="2:8" x14ac:dyDescent="0.25">
      <c r="B19" s="18" t="s">
        <v>19</v>
      </c>
      <c r="C19" s="4"/>
      <c r="D19" s="4"/>
      <c r="E19" s="4"/>
      <c r="F19" s="27"/>
      <c r="G19" s="27"/>
      <c r="H19" s="27"/>
    </row>
    <row r="20" spans="2:8" x14ac:dyDescent="0.25">
      <c r="B20" s="19" t="s">
        <v>20</v>
      </c>
      <c r="C20" s="4"/>
      <c r="D20" s="4"/>
      <c r="E20" s="4"/>
      <c r="F20" s="27"/>
      <c r="G20" s="27"/>
      <c r="H20" s="27"/>
    </row>
    <row r="21" spans="2:8" x14ac:dyDescent="0.25">
      <c r="B21" s="19" t="s">
        <v>21</v>
      </c>
      <c r="C21" s="4"/>
      <c r="D21" s="4"/>
      <c r="E21" s="4"/>
      <c r="F21" s="27"/>
      <c r="G21" s="27"/>
      <c r="H21" s="27"/>
    </row>
    <row r="22" spans="2:8" x14ac:dyDescent="0.25">
      <c r="B22" s="6" t="s">
        <v>22</v>
      </c>
      <c r="C22" s="4"/>
      <c r="D22" s="4"/>
      <c r="E22" s="5"/>
      <c r="F22" s="27"/>
      <c r="G22" s="27"/>
      <c r="H22" s="27"/>
    </row>
    <row r="23" spans="2:8" x14ac:dyDescent="0.25">
      <c r="B23" s="20" t="s">
        <v>23</v>
      </c>
      <c r="C23" s="4"/>
      <c r="D23" s="4"/>
      <c r="E23" s="5"/>
      <c r="F23" s="27"/>
      <c r="G23" s="27"/>
      <c r="H23" s="27"/>
    </row>
    <row r="24" spans="2:8" x14ac:dyDescent="0.25">
      <c r="B24" s="6" t="s">
        <v>24</v>
      </c>
      <c r="C24" s="4"/>
      <c r="D24" s="4"/>
      <c r="E24" s="5"/>
      <c r="F24" s="27"/>
      <c r="G24" s="27"/>
      <c r="H24" s="27"/>
    </row>
    <row r="25" spans="2:8" x14ac:dyDescent="0.25">
      <c r="B25" s="20" t="s">
        <v>25</v>
      </c>
      <c r="C25" s="4"/>
      <c r="D25" s="4"/>
      <c r="E25" s="5"/>
      <c r="F25" s="27"/>
      <c r="G25" s="27"/>
      <c r="H25" s="27"/>
    </row>
    <row r="26" spans="2:8" x14ac:dyDescent="0.25">
      <c r="B26" s="10" t="s">
        <v>16</v>
      </c>
      <c r="C26" s="4"/>
      <c r="D26" s="4"/>
      <c r="E26" s="5"/>
      <c r="F26" s="27"/>
      <c r="G26" s="27"/>
      <c r="H26" s="27"/>
    </row>
    <row r="28" spans="2:8" x14ac:dyDescent="0.25">
      <c r="B28" s="40"/>
      <c r="C28" s="40"/>
      <c r="D28" s="40"/>
      <c r="E28" s="40"/>
      <c r="F28" s="40"/>
      <c r="G28" s="40"/>
      <c r="H28" s="40"/>
    </row>
  </sheetData>
  <mergeCells count="1">
    <mergeCell ref="B2:H2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J183"/>
  <sheetViews>
    <sheetView topLeftCell="A166" workbookViewId="0">
      <selection activeCell="I47" sqref="I4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3" customWidth="1"/>
    <col min="5" max="5" width="43.140625" style="59" customWidth="1"/>
    <col min="6" max="6" width="24.28515625" hidden="1" customWidth="1"/>
    <col min="7" max="8" width="24.28515625" customWidth="1"/>
    <col min="9" max="9" width="15.7109375" customWidth="1"/>
    <col min="10" max="10" width="24.28515625" customWidth="1"/>
  </cols>
  <sheetData>
    <row r="1" spans="2:10" ht="9.75" customHeight="1" x14ac:dyDescent="0.25">
      <c r="B1" s="2"/>
      <c r="C1" s="2"/>
      <c r="D1" s="2"/>
      <c r="E1" s="68"/>
      <c r="F1" s="2"/>
      <c r="G1" s="2"/>
      <c r="H1" s="2"/>
      <c r="I1" s="3"/>
      <c r="J1" s="3"/>
    </row>
    <row r="2" spans="2:10" ht="18" customHeight="1" x14ac:dyDescent="0.25">
      <c r="B2" s="86" t="s">
        <v>10</v>
      </c>
      <c r="C2" s="86"/>
      <c r="D2" s="86"/>
      <c r="E2" s="86"/>
      <c r="F2" s="86"/>
      <c r="G2" s="86"/>
      <c r="H2" s="86"/>
      <c r="I2" s="86"/>
      <c r="J2" s="22"/>
    </row>
    <row r="3" spans="2:10" ht="5.25" customHeight="1" x14ac:dyDescent="0.25">
      <c r="B3" s="48"/>
      <c r="C3" s="48"/>
      <c r="D3" s="48"/>
      <c r="E3" s="69"/>
      <c r="F3" s="48"/>
      <c r="G3" s="48"/>
      <c r="H3" s="48"/>
      <c r="I3" s="49"/>
      <c r="J3" s="3"/>
    </row>
    <row r="4" spans="2:10" ht="15.75" x14ac:dyDescent="0.25">
      <c r="B4" s="118" t="s">
        <v>65</v>
      </c>
      <c r="C4" s="118"/>
      <c r="D4" s="118"/>
      <c r="E4" s="118"/>
      <c r="F4" s="118"/>
      <c r="G4" s="118"/>
      <c r="H4" s="118"/>
      <c r="I4" s="118"/>
    </row>
    <row r="5" spans="2:10" ht="18" x14ac:dyDescent="0.25">
      <c r="B5" s="48"/>
      <c r="C5" s="48"/>
      <c r="D5" s="48"/>
      <c r="E5" s="69"/>
      <c r="F5" s="48"/>
      <c r="G5" s="48"/>
      <c r="H5" s="48"/>
      <c r="I5" s="49"/>
    </row>
    <row r="6" spans="2:10" ht="25.5" x14ac:dyDescent="0.25">
      <c r="B6" s="111" t="s">
        <v>7</v>
      </c>
      <c r="C6" s="112"/>
      <c r="D6" s="112"/>
      <c r="E6" s="113"/>
      <c r="F6" s="33" t="s">
        <v>60</v>
      </c>
      <c r="G6" s="33" t="s">
        <v>60</v>
      </c>
      <c r="H6" s="33" t="s">
        <v>209</v>
      </c>
      <c r="I6" s="33" t="s">
        <v>58</v>
      </c>
    </row>
    <row r="7" spans="2:10" s="38" customFormat="1" ht="11.25" x14ac:dyDescent="0.2">
      <c r="B7" s="114">
        <v>1</v>
      </c>
      <c r="C7" s="115"/>
      <c r="D7" s="115"/>
      <c r="E7" s="116"/>
      <c r="F7" s="35">
        <v>2</v>
      </c>
      <c r="G7" s="35">
        <v>2</v>
      </c>
      <c r="H7" s="35">
        <v>3</v>
      </c>
      <c r="I7" s="35" t="s">
        <v>215</v>
      </c>
    </row>
    <row r="8" spans="2:10" ht="30" customHeight="1" x14ac:dyDescent="0.25">
      <c r="B8" s="122">
        <v>7715</v>
      </c>
      <c r="C8" s="123"/>
      <c r="D8" s="124"/>
      <c r="E8" s="71" t="s">
        <v>181</v>
      </c>
      <c r="F8" s="76">
        <f t="shared" ref="F8:G8" si="0">SUM(F9:F15)</f>
        <v>11331353</v>
      </c>
      <c r="G8" s="76">
        <f t="shared" si="0"/>
        <v>11331347</v>
      </c>
      <c r="H8" s="76">
        <f>SUM(H9:H15)</f>
        <v>11326833.039999999</v>
      </c>
      <c r="I8" s="76">
        <f>H8/G8*100</f>
        <v>99.960163959324504</v>
      </c>
    </row>
    <row r="9" spans="2:10" ht="30" customHeight="1" x14ac:dyDescent="0.25">
      <c r="B9" s="119">
        <v>11</v>
      </c>
      <c r="C9" s="120"/>
      <c r="D9" s="121"/>
      <c r="E9" s="41" t="s">
        <v>182</v>
      </c>
      <c r="F9" s="74">
        <f>SUM(F18)</f>
        <v>265446</v>
      </c>
      <c r="G9" s="74">
        <v>265446</v>
      </c>
      <c r="H9" s="73">
        <f>SUM(H18)</f>
        <v>265446</v>
      </c>
      <c r="I9" s="73">
        <f t="shared" ref="I9:I75" si="1">H9/G9*100</f>
        <v>100</v>
      </c>
    </row>
    <row r="10" spans="2:10" ht="30" customHeight="1" x14ac:dyDescent="0.25">
      <c r="B10" s="125">
        <v>31</v>
      </c>
      <c r="C10" s="125"/>
      <c r="D10" s="125"/>
      <c r="E10" s="41" t="s">
        <v>183</v>
      </c>
      <c r="F10" s="74">
        <f>SUM(F22)</f>
        <v>6376477</v>
      </c>
      <c r="G10" s="74">
        <v>6267012</v>
      </c>
      <c r="H10" s="73">
        <v>6394882.04</v>
      </c>
      <c r="I10" s="73">
        <f t="shared" si="1"/>
        <v>102.04036692446097</v>
      </c>
    </row>
    <row r="11" spans="2:10" ht="30" customHeight="1" x14ac:dyDescent="0.25">
      <c r="B11" s="125">
        <v>43</v>
      </c>
      <c r="C11" s="125"/>
      <c r="D11" s="125"/>
      <c r="E11" s="67" t="s">
        <v>184</v>
      </c>
      <c r="F11" s="74">
        <f>SUM(F77)</f>
        <v>4249974</v>
      </c>
      <c r="G11" s="74">
        <v>4258434</v>
      </c>
      <c r="H11" s="73">
        <v>4386573.21</v>
      </c>
      <c r="I11" s="73">
        <f t="shared" si="1"/>
        <v>103.00906882670952</v>
      </c>
    </row>
    <row r="12" spans="2:10" ht="30" customHeight="1" x14ac:dyDescent="0.25">
      <c r="B12" s="50">
        <v>51</v>
      </c>
      <c r="C12" s="51"/>
      <c r="D12" s="39"/>
      <c r="E12" s="67" t="s">
        <v>214</v>
      </c>
      <c r="F12" s="74"/>
      <c r="G12" s="74">
        <v>92947</v>
      </c>
      <c r="H12" s="73">
        <v>92944.45</v>
      </c>
      <c r="I12" s="73">
        <f t="shared" si="1"/>
        <v>99.997256501016707</v>
      </c>
    </row>
    <row r="13" spans="2:10" ht="30" customHeight="1" x14ac:dyDescent="0.25">
      <c r="B13" s="125">
        <v>52</v>
      </c>
      <c r="C13" s="125"/>
      <c r="D13" s="125"/>
      <c r="E13" s="67" t="s">
        <v>185</v>
      </c>
      <c r="F13" s="74">
        <f>SUM(F142)</f>
        <v>343027</v>
      </c>
      <c r="G13" s="74">
        <v>347027</v>
      </c>
      <c r="H13" s="73">
        <v>166539.12</v>
      </c>
      <c r="I13" s="73">
        <f t="shared" si="1"/>
        <v>47.990248597371384</v>
      </c>
    </row>
    <row r="14" spans="2:10" ht="30" customHeight="1" x14ac:dyDescent="0.25">
      <c r="B14" s="125">
        <v>61</v>
      </c>
      <c r="C14" s="125"/>
      <c r="D14" s="125"/>
      <c r="E14" s="67" t="s">
        <v>186</v>
      </c>
      <c r="F14" s="74">
        <f>SUM(F161)</f>
        <v>3523</v>
      </c>
      <c r="G14" s="74">
        <v>7575</v>
      </c>
      <c r="H14" s="73">
        <v>8628.16</v>
      </c>
      <c r="I14" s="73">
        <f t="shared" si="1"/>
        <v>113.90310231023102</v>
      </c>
    </row>
    <row r="15" spans="2:10" ht="30" customHeight="1" x14ac:dyDescent="0.25">
      <c r="B15" s="125">
        <v>71</v>
      </c>
      <c r="C15" s="125"/>
      <c r="D15" s="125"/>
      <c r="E15" s="67" t="s">
        <v>187</v>
      </c>
      <c r="F15" s="74">
        <f>SUM(F169)</f>
        <v>92906</v>
      </c>
      <c r="G15" s="74">
        <v>92906</v>
      </c>
      <c r="H15" s="73">
        <v>11820.06</v>
      </c>
      <c r="I15" s="73">
        <f t="shared" si="1"/>
        <v>12.722601338987793</v>
      </c>
    </row>
    <row r="16" spans="2:10" ht="30" customHeight="1" x14ac:dyDescent="0.25">
      <c r="B16" s="122">
        <v>3401</v>
      </c>
      <c r="C16" s="123"/>
      <c r="D16" s="124"/>
      <c r="E16" s="71" t="s">
        <v>188</v>
      </c>
      <c r="F16" s="78">
        <f>SUM(F17,F21)</f>
        <v>11331353</v>
      </c>
      <c r="G16" s="78">
        <f t="shared" ref="G16:H16" si="2">SUM(G17,G21)</f>
        <v>11331347</v>
      </c>
      <c r="H16" s="78">
        <f t="shared" si="2"/>
        <v>11326833.039999997</v>
      </c>
      <c r="I16" s="73">
        <f t="shared" si="1"/>
        <v>99.96016395932449</v>
      </c>
    </row>
    <row r="17" spans="2:9" ht="30" customHeight="1" x14ac:dyDescent="0.25">
      <c r="B17" s="122" t="s">
        <v>189</v>
      </c>
      <c r="C17" s="123"/>
      <c r="D17" s="124"/>
      <c r="E17" s="71" t="s">
        <v>190</v>
      </c>
      <c r="F17" s="74">
        <f>SUM(F18)</f>
        <v>265446</v>
      </c>
      <c r="G17" s="74">
        <f t="shared" ref="G17:H17" si="3">SUM(G18)</f>
        <v>265446</v>
      </c>
      <c r="H17" s="74">
        <f t="shared" si="3"/>
        <v>265446</v>
      </c>
      <c r="I17" s="73">
        <f t="shared" si="1"/>
        <v>100</v>
      </c>
    </row>
    <row r="18" spans="2:9" ht="30" customHeight="1" x14ac:dyDescent="0.25">
      <c r="B18" s="119" t="s">
        <v>191</v>
      </c>
      <c r="C18" s="120"/>
      <c r="D18" s="121"/>
      <c r="E18" s="41" t="s">
        <v>182</v>
      </c>
      <c r="F18" s="74">
        <v>265446</v>
      </c>
      <c r="G18" s="73">
        <v>265446</v>
      </c>
      <c r="H18" s="73">
        <v>265446</v>
      </c>
      <c r="I18" s="73">
        <f t="shared" si="1"/>
        <v>100</v>
      </c>
    </row>
    <row r="19" spans="2:9" ht="30" customHeight="1" x14ac:dyDescent="0.25">
      <c r="B19" s="125">
        <v>32</v>
      </c>
      <c r="C19" s="125"/>
      <c r="D19" s="125"/>
      <c r="E19" s="58" t="s">
        <v>12</v>
      </c>
      <c r="F19" s="74">
        <v>265446</v>
      </c>
      <c r="G19" s="73">
        <v>265446</v>
      </c>
      <c r="H19" s="73">
        <v>265446</v>
      </c>
      <c r="I19" s="73">
        <f t="shared" si="1"/>
        <v>100</v>
      </c>
    </row>
    <row r="20" spans="2:9" ht="30" customHeight="1" x14ac:dyDescent="0.25">
      <c r="B20" s="119">
        <v>3232</v>
      </c>
      <c r="C20" s="120"/>
      <c r="D20" s="121"/>
      <c r="E20" s="58" t="s">
        <v>127</v>
      </c>
      <c r="F20" s="74">
        <v>265446</v>
      </c>
      <c r="G20" s="73">
        <v>265446</v>
      </c>
      <c r="H20" s="73">
        <v>265446</v>
      </c>
      <c r="I20" s="73">
        <f t="shared" si="1"/>
        <v>100</v>
      </c>
    </row>
    <row r="21" spans="2:9" ht="30" customHeight="1" x14ac:dyDescent="0.25">
      <c r="B21" s="122" t="s">
        <v>192</v>
      </c>
      <c r="C21" s="123"/>
      <c r="D21" s="124"/>
      <c r="E21" s="72" t="s">
        <v>200</v>
      </c>
      <c r="F21" s="74">
        <f>SUM(F22,F77,F142,F161,F169)</f>
        <v>11065907</v>
      </c>
      <c r="G21" s="74">
        <f>SUM(G22,G77,G134,G142,G161,G169)</f>
        <v>11065901</v>
      </c>
      <c r="H21" s="74">
        <f>SUM(H22,H77,H134,H142,H161,H169)</f>
        <v>11061387.039999997</v>
      </c>
      <c r="I21" s="73">
        <f t="shared" si="1"/>
        <v>99.959208382579931</v>
      </c>
    </row>
    <row r="22" spans="2:9" ht="30" customHeight="1" x14ac:dyDescent="0.25">
      <c r="B22" s="119" t="s">
        <v>193</v>
      </c>
      <c r="C22" s="120"/>
      <c r="D22" s="121"/>
      <c r="E22" s="52" t="s">
        <v>183</v>
      </c>
      <c r="F22" s="74">
        <f>SUM(F23,F29,F57,F61,F63,F65,F74)</f>
        <v>6376477</v>
      </c>
      <c r="G22" s="74">
        <f>SUM(G23,G29,G57,G61,G63,G65,G74)</f>
        <v>6267012</v>
      </c>
      <c r="H22" s="74">
        <f>SUM(H23,H29,H57,H61,H63,H65,H74)</f>
        <v>6394882.0399999991</v>
      </c>
      <c r="I22" s="73">
        <f t="shared" si="1"/>
        <v>102.04036692446097</v>
      </c>
    </row>
    <row r="23" spans="2:9" ht="30" customHeight="1" x14ac:dyDescent="0.25">
      <c r="B23" s="50">
        <v>31</v>
      </c>
      <c r="C23" s="51"/>
      <c r="D23" s="39"/>
      <c r="E23" s="58" t="s">
        <v>5</v>
      </c>
      <c r="F23" s="74">
        <f>SUM(F24:F28)</f>
        <v>1861755</v>
      </c>
      <c r="G23" s="74">
        <f t="shared" ref="G23:H23" si="4">SUM(G24:G28)</f>
        <v>2360269</v>
      </c>
      <c r="H23" s="74">
        <f t="shared" si="4"/>
        <v>2826514.83</v>
      </c>
      <c r="I23" s="73">
        <f t="shared" si="1"/>
        <v>119.75392762435129</v>
      </c>
    </row>
    <row r="24" spans="2:9" ht="30" customHeight="1" x14ac:dyDescent="0.25">
      <c r="B24" s="50">
        <v>3111</v>
      </c>
      <c r="C24" s="51"/>
      <c r="D24" s="39"/>
      <c r="E24" s="58" t="s">
        <v>38</v>
      </c>
      <c r="F24" s="74">
        <v>1483495</v>
      </c>
      <c r="G24" s="73">
        <v>1855269</v>
      </c>
      <c r="H24" s="73">
        <v>2166021.4300000002</v>
      </c>
      <c r="I24" s="73">
        <f t="shared" si="1"/>
        <v>116.74972362498377</v>
      </c>
    </row>
    <row r="25" spans="2:9" ht="30" customHeight="1" x14ac:dyDescent="0.25">
      <c r="B25" s="50">
        <v>3113</v>
      </c>
      <c r="C25" s="51"/>
      <c r="D25" s="39"/>
      <c r="E25" s="58" t="s">
        <v>110</v>
      </c>
      <c r="F25" s="74">
        <v>26545</v>
      </c>
      <c r="G25" s="73">
        <v>40000</v>
      </c>
      <c r="H25" s="73">
        <v>47779.28</v>
      </c>
      <c r="I25" s="73">
        <f t="shared" si="1"/>
        <v>119.4482</v>
      </c>
    </row>
    <row r="26" spans="2:9" ht="30" customHeight="1" x14ac:dyDescent="0.25">
      <c r="B26" s="50">
        <v>3121</v>
      </c>
      <c r="C26" s="51"/>
      <c r="D26" s="39"/>
      <c r="E26" s="58" t="s">
        <v>111</v>
      </c>
      <c r="F26" s="74">
        <v>119451</v>
      </c>
      <c r="G26" s="73">
        <v>157000</v>
      </c>
      <c r="H26" s="73">
        <v>236677.69</v>
      </c>
      <c r="I26" s="73">
        <f t="shared" si="1"/>
        <v>150.75012101910826</v>
      </c>
    </row>
    <row r="27" spans="2:9" ht="30" customHeight="1" x14ac:dyDescent="0.25">
      <c r="B27" s="50">
        <v>3131</v>
      </c>
      <c r="C27" s="51"/>
      <c r="D27" s="39"/>
      <c r="E27" s="58" t="s">
        <v>113</v>
      </c>
      <c r="F27" s="74">
        <v>19908</v>
      </c>
      <c r="G27" s="73">
        <v>38000</v>
      </c>
      <c r="H27" s="73">
        <v>29517.42</v>
      </c>
      <c r="I27" s="73">
        <f t="shared" si="1"/>
        <v>77.677421052631573</v>
      </c>
    </row>
    <row r="28" spans="2:9" ht="30" customHeight="1" x14ac:dyDescent="0.25">
      <c r="B28" s="50">
        <v>3132</v>
      </c>
      <c r="C28" s="51"/>
      <c r="D28" s="39"/>
      <c r="E28" s="58" t="s">
        <v>114</v>
      </c>
      <c r="F28" s="74">
        <v>212356</v>
      </c>
      <c r="G28" s="73">
        <v>270000</v>
      </c>
      <c r="H28" s="73">
        <v>346519.01</v>
      </c>
      <c r="I28" s="73">
        <f t="shared" si="1"/>
        <v>128.34037407407408</v>
      </c>
    </row>
    <row r="29" spans="2:9" ht="30" customHeight="1" x14ac:dyDescent="0.25">
      <c r="B29" s="50">
        <v>32</v>
      </c>
      <c r="C29" s="51"/>
      <c r="D29" s="39"/>
      <c r="E29" s="58" t="s">
        <v>12</v>
      </c>
      <c r="F29" s="74">
        <f>SUM(F30:F55,F56)</f>
        <v>4031184</v>
      </c>
      <c r="G29" s="74">
        <f>SUM(G30:G45,G48:G55,G56)</f>
        <v>3498086</v>
      </c>
      <c r="H29" s="74">
        <f>SUM(H30:H45,H48:H55,H56)</f>
        <v>3315443.2699999996</v>
      </c>
      <c r="I29" s="73">
        <f t="shared" si="1"/>
        <v>94.778781024823274</v>
      </c>
    </row>
    <row r="30" spans="2:9" ht="30" customHeight="1" x14ac:dyDescent="0.25">
      <c r="B30" s="50">
        <v>3211</v>
      </c>
      <c r="C30" s="51"/>
      <c r="D30" s="39"/>
      <c r="E30" s="58" t="s">
        <v>40</v>
      </c>
      <c r="F30" s="74">
        <v>7963</v>
      </c>
      <c r="G30" s="73">
        <v>7963</v>
      </c>
      <c r="H30" s="73">
        <v>7405.31</v>
      </c>
      <c r="I30" s="73">
        <f t="shared" si="1"/>
        <v>92.996483737284947</v>
      </c>
    </row>
    <row r="31" spans="2:9" ht="30" customHeight="1" x14ac:dyDescent="0.25">
      <c r="B31" s="50">
        <v>3212</v>
      </c>
      <c r="C31" s="51"/>
      <c r="D31" s="39"/>
      <c r="E31" s="58" t="s">
        <v>115</v>
      </c>
      <c r="F31" s="74">
        <v>59725</v>
      </c>
      <c r="G31" s="73">
        <v>70000</v>
      </c>
      <c r="H31" s="73">
        <v>78855.73</v>
      </c>
      <c r="I31" s="73">
        <f t="shared" si="1"/>
        <v>112.65104285714284</v>
      </c>
    </row>
    <row r="32" spans="2:9" ht="30" customHeight="1" x14ac:dyDescent="0.25">
      <c r="B32" s="50">
        <v>3213</v>
      </c>
      <c r="C32" s="51"/>
      <c r="D32" s="39"/>
      <c r="E32" s="58" t="s">
        <v>116</v>
      </c>
      <c r="F32" s="74">
        <v>6809</v>
      </c>
      <c r="G32" s="73">
        <v>6809</v>
      </c>
      <c r="H32" s="73">
        <v>6279.55</v>
      </c>
      <c r="I32" s="73">
        <f t="shared" si="1"/>
        <v>92.224262006168317</v>
      </c>
    </row>
    <row r="33" spans="2:9" ht="30" customHeight="1" x14ac:dyDescent="0.25">
      <c r="B33" s="50">
        <v>3214</v>
      </c>
      <c r="C33" s="51"/>
      <c r="D33" s="39"/>
      <c r="E33" s="58" t="s">
        <v>117</v>
      </c>
      <c r="F33" s="74">
        <v>500</v>
      </c>
      <c r="G33" s="73">
        <v>100</v>
      </c>
      <c r="H33" s="73"/>
      <c r="I33" s="73">
        <f t="shared" si="1"/>
        <v>0</v>
      </c>
    </row>
    <row r="34" spans="2:9" ht="30" customHeight="1" x14ac:dyDescent="0.25">
      <c r="B34" s="50">
        <v>3221</v>
      </c>
      <c r="C34" s="51"/>
      <c r="D34" s="39"/>
      <c r="E34" s="58" t="s">
        <v>119</v>
      </c>
      <c r="F34" s="74">
        <v>107161</v>
      </c>
      <c r="G34" s="73">
        <v>127161</v>
      </c>
      <c r="H34" s="73">
        <v>150567.28</v>
      </c>
      <c r="I34" s="73">
        <f t="shared" si="1"/>
        <v>118.40680711853477</v>
      </c>
    </row>
    <row r="35" spans="2:9" ht="30" customHeight="1" x14ac:dyDescent="0.25">
      <c r="B35" s="50">
        <v>3222</v>
      </c>
      <c r="C35" s="51"/>
      <c r="D35" s="39"/>
      <c r="E35" s="58" t="s">
        <v>120</v>
      </c>
      <c r="F35" s="74">
        <v>582653</v>
      </c>
      <c r="G35" s="73">
        <v>582653</v>
      </c>
      <c r="H35" s="73">
        <v>732191.11</v>
      </c>
      <c r="I35" s="73">
        <f t="shared" si="1"/>
        <v>125.6650373378323</v>
      </c>
    </row>
    <row r="36" spans="2:9" ht="30" customHeight="1" x14ac:dyDescent="0.25">
      <c r="B36" s="50">
        <v>3223</v>
      </c>
      <c r="C36" s="51"/>
      <c r="D36" s="39"/>
      <c r="E36" s="58" t="s">
        <v>121</v>
      </c>
      <c r="F36" s="74">
        <v>700776</v>
      </c>
      <c r="G36" s="73">
        <v>500776</v>
      </c>
      <c r="H36" s="73">
        <v>530168.27</v>
      </c>
      <c r="I36" s="73">
        <f t="shared" si="1"/>
        <v>105.86934477690623</v>
      </c>
    </row>
    <row r="37" spans="2:9" ht="30" customHeight="1" x14ac:dyDescent="0.25">
      <c r="B37" s="50">
        <v>3224</v>
      </c>
      <c r="C37" s="51"/>
      <c r="D37" s="39"/>
      <c r="E37" s="58" t="s">
        <v>122</v>
      </c>
      <c r="F37" s="74">
        <v>242003</v>
      </c>
      <c r="G37" s="73">
        <v>242003</v>
      </c>
      <c r="H37" s="73">
        <v>118381.64</v>
      </c>
      <c r="I37" s="73">
        <f t="shared" si="1"/>
        <v>48.917426643471359</v>
      </c>
    </row>
    <row r="38" spans="2:9" ht="30" customHeight="1" x14ac:dyDescent="0.25">
      <c r="B38" s="50">
        <v>3225</v>
      </c>
      <c r="C38" s="51"/>
      <c r="D38" s="39"/>
      <c r="E38" s="58" t="s">
        <v>123</v>
      </c>
      <c r="F38" s="74">
        <v>92099</v>
      </c>
      <c r="G38" s="73">
        <v>95099</v>
      </c>
      <c r="H38" s="73">
        <v>73017.070000000007</v>
      </c>
      <c r="I38" s="73">
        <f t="shared" si="1"/>
        <v>76.780060778767407</v>
      </c>
    </row>
    <row r="39" spans="2:9" ht="30" customHeight="1" x14ac:dyDescent="0.25">
      <c r="B39" s="50">
        <v>3227</v>
      </c>
      <c r="C39" s="51"/>
      <c r="D39" s="39"/>
      <c r="E39" s="58" t="s">
        <v>124</v>
      </c>
      <c r="F39" s="74">
        <v>34906</v>
      </c>
      <c r="G39" s="73">
        <v>9223</v>
      </c>
      <c r="H39" s="73">
        <v>4569.68</v>
      </c>
      <c r="I39" s="73">
        <f t="shared" si="1"/>
        <v>49.546568361704438</v>
      </c>
    </row>
    <row r="40" spans="2:9" ht="30" customHeight="1" x14ac:dyDescent="0.25">
      <c r="B40" s="50">
        <v>3231</v>
      </c>
      <c r="C40" s="51"/>
      <c r="D40" s="39"/>
      <c r="E40" s="58" t="s">
        <v>126</v>
      </c>
      <c r="F40" s="74">
        <v>19908</v>
      </c>
      <c r="G40" s="73">
        <v>19908</v>
      </c>
      <c r="H40" s="73">
        <v>15968.28</v>
      </c>
      <c r="I40" s="73">
        <f t="shared" si="1"/>
        <v>80.210367691380355</v>
      </c>
    </row>
    <row r="41" spans="2:9" ht="30" customHeight="1" x14ac:dyDescent="0.25">
      <c r="B41" s="50">
        <v>3232</v>
      </c>
      <c r="C41" s="51"/>
      <c r="D41" s="39"/>
      <c r="E41" s="58" t="s">
        <v>127</v>
      </c>
      <c r="F41" s="74">
        <v>1322422</v>
      </c>
      <c r="G41" s="73">
        <v>878399</v>
      </c>
      <c r="H41" s="73">
        <v>603321.26</v>
      </c>
      <c r="I41" s="73">
        <f t="shared" si="1"/>
        <v>68.684192491111673</v>
      </c>
    </row>
    <row r="42" spans="2:9" ht="30" customHeight="1" x14ac:dyDescent="0.25">
      <c r="B42" s="50">
        <v>3233</v>
      </c>
      <c r="C42" s="51"/>
      <c r="D42" s="39"/>
      <c r="E42" s="58" t="s">
        <v>128</v>
      </c>
      <c r="F42" s="74">
        <v>103524</v>
      </c>
      <c r="G42" s="73">
        <v>103524</v>
      </c>
      <c r="H42" s="73">
        <v>93504.14</v>
      </c>
      <c r="I42" s="73">
        <f t="shared" si="1"/>
        <v>90.321220200146826</v>
      </c>
    </row>
    <row r="43" spans="2:9" ht="30" customHeight="1" x14ac:dyDescent="0.25">
      <c r="B43" s="50">
        <v>3234</v>
      </c>
      <c r="C43" s="51"/>
      <c r="D43" s="39"/>
      <c r="E43" s="58" t="s">
        <v>129</v>
      </c>
      <c r="F43" s="74">
        <v>192634</v>
      </c>
      <c r="G43" s="73">
        <v>192634</v>
      </c>
      <c r="H43" s="73">
        <v>226862.49</v>
      </c>
      <c r="I43" s="73">
        <f t="shared" si="1"/>
        <v>117.76866492934788</v>
      </c>
    </row>
    <row r="44" spans="2:9" ht="30" customHeight="1" x14ac:dyDescent="0.25">
      <c r="B44" s="50">
        <v>3235</v>
      </c>
      <c r="C44" s="51"/>
      <c r="D44" s="39"/>
      <c r="E44" s="58" t="s">
        <v>130</v>
      </c>
      <c r="F44" s="74">
        <v>11945</v>
      </c>
      <c r="G44" s="73">
        <v>25000</v>
      </c>
      <c r="H44" s="73">
        <v>24744.39</v>
      </c>
      <c r="I44" s="73">
        <f t="shared" si="1"/>
        <v>98.977559999999997</v>
      </c>
    </row>
    <row r="45" spans="2:9" ht="30" customHeight="1" x14ac:dyDescent="0.25">
      <c r="B45" s="50">
        <v>3236</v>
      </c>
      <c r="C45" s="51"/>
      <c r="D45" s="39"/>
      <c r="E45" s="58" t="s">
        <v>131</v>
      </c>
      <c r="F45" s="74">
        <v>26545</v>
      </c>
      <c r="G45" s="73">
        <v>15000</v>
      </c>
      <c r="H45" s="73">
        <v>983.28</v>
      </c>
      <c r="I45" s="73">
        <f t="shared" si="1"/>
        <v>6.5552000000000001</v>
      </c>
    </row>
    <row r="46" spans="2:9" ht="25.5" x14ac:dyDescent="0.25">
      <c r="B46" s="111" t="s">
        <v>7</v>
      </c>
      <c r="C46" s="112"/>
      <c r="D46" s="112"/>
      <c r="E46" s="113"/>
      <c r="F46" s="33" t="s">
        <v>60</v>
      </c>
      <c r="G46" s="33" t="s">
        <v>57</v>
      </c>
      <c r="H46" s="33" t="s">
        <v>209</v>
      </c>
      <c r="I46" s="33" t="s">
        <v>58</v>
      </c>
    </row>
    <row r="47" spans="2:9" s="38" customFormat="1" ht="11.25" x14ac:dyDescent="0.2">
      <c r="B47" s="114">
        <v>1</v>
      </c>
      <c r="C47" s="115"/>
      <c r="D47" s="115"/>
      <c r="E47" s="116"/>
      <c r="F47" s="35">
        <v>2</v>
      </c>
      <c r="G47" s="35">
        <v>2</v>
      </c>
      <c r="H47" s="35">
        <v>3</v>
      </c>
      <c r="I47" s="35" t="s">
        <v>215</v>
      </c>
    </row>
    <row r="48" spans="2:9" ht="30" customHeight="1" x14ac:dyDescent="0.25">
      <c r="B48" s="50">
        <v>3237</v>
      </c>
      <c r="C48" s="51"/>
      <c r="D48" s="39"/>
      <c r="E48" s="58" t="s">
        <v>132</v>
      </c>
      <c r="F48" s="74">
        <v>106178</v>
      </c>
      <c r="G48" s="73">
        <v>106178</v>
      </c>
      <c r="H48" s="73">
        <v>95759.1</v>
      </c>
      <c r="I48" s="73">
        <f t="shared" si="1"/>
        <v>90.187326941550978</v>
      </c>
    </row>
    <row r="49" spans="2:9" ht="30" customHeight="1" x14ac:dyDescent="0.25">
      <c r="B49" s="50">
        <v>3238</v>
      </c>
      <c r="C49" s="51"/>
      <c r="D49" s="39"/>
      <c r="E49" s="58" t="s">
        <v>133</v>
      </c>
      <c r="F49" s="74">
        <v>66361</v>
      </c>
      <c r="G49" s="73">
        <v>56361</v>
      </c>
      <c r="H49" s="73">
        <v>70363.490000000005</v>
      </c>
      <c r="I49" s="73">
        <f t="shared" si="1"/>
        <v>124.84428949096007</v>
      </c>
    </row>
    <row r="50" spans="2:9" ht="30" customHeight="1" x14ac:dyDescent="0.25">
      <c r="B50" s="50">
        <v>3239</v>
      </c>
      <c r="C50" s="51"/>
      <c r="D50" s="39"/>
      <c r="E50" s="58" t="s">
        <v>134</v>
      </c>
      <c r="F50" s="74">
        <v>159267</v>
      </c>
      <c r="G50" s="73">
        <v>170759</v>
      </c>
      <c r="H50" s="73">
        <v>189578.07</v>
      </c>
      <c r="I50" s="73">
        <f t="shared" si="1"/>
        <v>111.02083638344101</v>
      </c>
    </row>
    <row r="51" spans="2:9" ht="30" customHeight="1" x14ac:dyDescent="0.25">
      <c r="B51" s="50">
        <v>3241</v>
      </c>
      <c r="C51" s="51"/>
      <c r="D51" s="39"/>
      <c r="E51" s="58" t="s">
        <v>135</v>
      </c>
      <c r="F51" s="74">
        <v>664</v>
      </c>
      <c r="G51" s="73">
        <v>664</v>
      </c>
      <c r="H51" s="73"/>
      <c r="I51" s="73">
        <f t="shared" si="1"/>
        <v>0</v>
      </c>
    </row>
    <row r="52" spans="2:9" ht="30" customHeight="1" x14ac:dyDescent="0.25">
      <c r="B52" s="50">
        <v>3292</v>
      </c>
      <c r="C52" s="51"/>
      <c r="D52" s="39"/>
      <c r="E52" s="58" t="s">
        <v>138</v>
      </c>
      <c r="F52" s="74">
        <v>45789</v>
      </c>
      <c r="G52" s="73">
        <v>45789</v>
      </c>
      <c r="H52" s="73">
        <v>3957.46</v>
      </c>
      <c r="I52" s="73">
        <f t="shared" si="1"/>
        <v>8.6428181440957434</v>
      </c>
    </row>
    <row r="53" spans="2:9" ht="30" customHeight="1" x14ac:dyDescent="0.25">
      <c r="B53" s="50">
        <v>3293</v>
      </c>
      <c r="C53" s="51"/>
      <c r="D53" s="39"/>
      <c r="E53" s="58" t="s">
        <v>139</v>
      </c>
      <c r="F53" s="74">
        <v>7963</v>
      </c>
      <c r="G53" s="73">
        <v>7963</v>
      </c>
      <c r="H53" s="73">
        <v>6193.35</v>
      </c>
      <c r="I53" s="73">
        <f t="shared" si="1"/>
        <v>77.776591736782621</v>
      </c>
    </row>
    <row r="54" spans="2:9" ht="30" customHeight="1" x14ac:dyDescent="0.25">
      <c r="B54" s="50">
        <v>3294</v>
      </c>
      <c r="C54" s="51"/>
      <c r="D54" s="39"/>
      <c r="E54" s="58" t="s">
        <v>140</v>
      </c>
      <c r="F54" s="74">
        <v>664</v>
      </c>
      <c r="G54" s="73">
        <v>664</v>
      </c>
      <c r="H54" s="73">
        <v>374.28</v>
      </c>
      <c r="I54" s="73">
        <f t="shared" si="1"/>
        <v>56.367469879518076</v>
      </c>
    </row>
    <row r="55" spans="2:9" ht="30" customHeight="1" x14ac:dyDescent="0.25">
      <c r="B55" s="50">
        <v>3295</v>
      </c>
      <c r="C55" s="51"/>
      <c r="D55" s="39"/>
      <c r="E55" s="58" t="s">
        <v>141</v>
      </c>
      <c r="F55" s="74">
        <v>79634</v>
      </c>
      <c r="G55" s="73">
        <v>148456</v>
      </c>
      <c r="H55" s="73">
        <v>212428.72</v>
      </c>
      <c r="I55" s="73">
        <f t="shared" si="1"/>
        <v>143.09204073934364</v>
      </c>
    </row>
    <row r="56" spans="2:9" ht="30" customHeight="1" x14ac:dyDescent="0.25">
      <c r="B56" s="50">
        <v>3299</v>
      </c>
      <c r="C56" s="51"/>
      <c r="D56" s="39"/>
      <c r="E56" s="58" t="s">
        <v>136</v>
      </c>
      <c r="F56" s="74">
        <v>53089</v>
      </c>
      <c r="G56" s="73">
        <v>85000</v>
      </c>
      <c r="H56" s="73">
        <v>69969.320000000007</v>
      </c>
      <c r="I56" s="73">
        <f t="shared" si="1"/>
        <v>82.316847058823541</v>
      </c>
    </row>
    <row r="57" spans="2:9" ht="30" customHeight="1" x14ac:dyDescent="0.25">
      <c r="B57" s="50">
        <v>34</v>
      </c>
      <c r="C57" s="51"/>
      <c r="D57" s="39"/>
      <c r="E57" s="58" t="s">
        <v>143</v>
      </c>
      <c r="F57" s="74">
        <f>SUM(F58:F60)</f>
        <v>1264</v>
      </c>
      <c r="G57" s="74">
        <f t="shared" ref="G57:H57" si="5">SUM(G58:G60)</f>
        <v>1264</v>
      </c>
      <c r="H57" s="74">
        <f t="shared" si="5"/>
        <v>1280.67</v>
      </c>
      <c r="I57" s="73">
        <f t="shared" si="1"/>
        <v>101.31882911392405</v>
      </c>
    </row>
    <row r="58" spans="2:9" ht="30" customHeight="1" x14ac:dyDescent="0.25">
      <c r="B58" s="50">
        <v>3431</v>
      </c>
      <c r="C58" s="51"/>
      <c r="D58" s="39"/>
      <c r="E58" s="58" t="s">
        <v>147</v>
      </c>
      <c r="F58" s="74">
        <v>0</v>
      </c>
      <c r="G58" s="73">
        <v>0</v>
      </c>
      <c r="H58" s="73">
        <v>0</v>
      </c>
      <c r="I58" s="73"/>
    </row>
    <row r="59" spans="2:9" ht="30" customHeight="1" x14ac:dyDescent="0.25">
      <c r="B59" s="50">
        <v>3432</v>
      </c>
      <c r="C59" s="51"/>
      <c r="D59" s="39"/>
      <c r="E59" s="58" t="s">
        <v>148</v>
      </c>
      <c r="F59" s="74">
        <v>664</v>
      </c>
      <c r="G59" s="73">
        <v>664</v>
      </c>
      <c r="H59" s="73">
        <v>912.84</v>
      </c>
      <c r="I59" s="73">
        <f t="shared" si="1"/>
        <v>137.47590361445782</v>
      </c>
    </row>
    <row r="60" spans="2:9" ht="30" customHeight="1" x14ac:dyDescent="0.25">
      <c r="B60" s="50">
        <v>3433</v>
      </c>
      <c r="C60" s="51"/>
      <c r="D60" s="39"/>
      <c r="E60" s="58" t="s">
        <v>149</v>
      </c>
      <c r="F60" s="74">
        <v>600</v>
      </c>
      <c r="G60" s="73">
        <v>600</v>
      </c>
      <c r="H60" s="73">
        <v>367.83</v>
      </c>
      <c r="I60" s="73">
        <f t="shared" si="1"/>
        <v>61.305</v>
      </c>
    </row>
    <row r="61" spans="2:9" ht="30" customHeight="1" x14ac:dyDescent="0.25">
      <c r="B61" s="50">
        <v>37</v>
      </c>
      <c r="C61" s="51"/>
      <c r="D61" s="39"/>
      <c r="E61" s="58" t="s">
        <v>151</v>
      </c>
      <c r="F61" s="74">
        <f>SUM(F62)</f>
        <v>3982</v>
      </c>
      <c r="G61" s="74">
        <f t="shared" ref="G61:H61" si="6">SUM(G62)</f>
        <v>3982</v>
      </c>
      <c r="H61" s="74">
        <f t="shared" si="6"/>
        <v>3544.61</v>
      </c>
      <c r="I61" s="73">
        <f t="shared" si="1"/>
        <v>89.015821195379203</v>
      </c>
    </row>
    <row r="62" spans="2:9" ht="30" customHeight="1" x14ac:dyDescent="0.25">
      <c r="B62" s="50">
        <v>3721</v>
      </c>
      <c r="C62" s="51"/>
      <c r="D62" s="39"/>
      <c r="E62" s="58" t="s">
        <v>153</v>
      </c>
      <c r="F62" s="74">
        <v>3982</v>
      </c>
      <c r="G62" s="73">
        <v>3982</v>
      </c>
      <c r="H62" s="73">
        <v>3544.61</v>
      </c>
      <c r="I62" s="73">
        <f t="shared" si="1"/>
        <v>89.015821195379203</v>
      </c>
    </row>
    <row r="63" spans="2:9" ht="30" customHeight="1" x14ac:dyDescent="0.25">
      <c r="B63" s="50">
        <v>38</v>
      </c>
      <c r="C63" s="51"/>
      <c r="D63" s="39"/>
      <c r="E63" s="58" t="s">
        <v>195</v>
      </c>
      <c r="F63" s="74">
        <f>SUM(F64)</f>
        <v>664</v>
      </c>
      <c r="G63" s="74">
        <f t="shared" ref="G63:H63" si="7">SUM(G64)</f>
        <v>664</v>
      </c>
      <c r="H63" s="74">
        <f t="shared" si="7"/>
        <v>0</v>
      </c>
      <c r="I63" s="73">
        <f t="shared" si="1"/>
        <v>0</v>
      </c>
    </row>
    <row r="64" spans="2:9" ht="30" customHeight="1" x14ac:dyDescent="0.25">
      <c r="B64" s="50">
        <v>3835</v>
      </c>
      <c r="C64" s="51"/>
      <c r="D64" s="39"/>
      <c r="E64" s="58" t="s">
        <v>98</v>
      </c>
      <c r="F64" s="74">
        <v>664</v>
      </c>
      <c r="G64" s="73">
        <v>664</v>
      </c>
      <c r="H64" s="73"/>
      <c r="I64" s="73">
        <f t="shared" si="1"/>
        <v>0</v>
      </c>
    </row>
    <row r="65" spans="2:9" ht="30" customHeight="1" x14ac:dyDescent="0.25">
      <c r="B65" s="50">
        <v>42</v>
      </c>
      <c r="C65" s="51"/>
      <c r="D65" s="39"/>
      <c r="E65" s="58" t="s">
        <v>154</v>
      </c>
      <c r="F65" s="74">
        <f>SUM(F66:F73)</f>
        <v>465310</v>
      </c>
      <c r="G65" s="74">
        <f t="shared" ref="G65:H65" si="8">SUM(G66:G73)</f>
        <v>390429</v>
      </c>
      <c r="H65" s="74">
        <f t="shared" si="8"/>
        <v>239786.31</v>
      </c>
      <c r="I65" s="73">
        <f t="shared" si="1"/>
        <v>61.416111508110305</v>
      </c>
    </row>
    <row r="66" spans="2:9" ht="30" customHeight="1" x14ac:dyDescent="0.25">
      <c r="B66" s="50">
        <v>4214</v>
      </c>
      <c r="C66" s="51"/>
      <c r="D66" s="39"/>
      <c r="E66" s="58" t="s">
        <v>157</v>
      </c>
      <c r="F66" s="74">
        <v>108599</v>
      </c>
      <c r="G66" s="73">
        <v>26213</v>
      </c>
      <c r="H66" s="73">
        <v>16232.82</v>
      </c>
      <c r="I66" s="73">
        <f t="shared" si="1"/>
        <v>61.926601304696135</v>
      </c>
    </row>
    <row r="67" spans="2:9" ht="30" customHeight="1" x14ac:dyDescent="0.25">
      <c r="B67" s="50">
        <v>4221</v>
      </c>
      <c r="C67" s="51"/>
      <c r="D67" s="39"/>
      <c r="E67" s="58" t="s">
        <v>159</v>
      </c>
      <c r="F67" s="74">
        <v>19908</v>
      </c>
      <c r="G67" s="73">
        <v>19908</v>
      </c>
      <c r="H67" s="73">
        <v>3881.56</v>
      </c>
      <c r="I67" s="73">
        <f t="shared" si="1"/>
        <v>19.497488446855535</v>
      </c>
    </row>
    <row r="68" spans="2:9" ht="30" customHeight="1" x14ac:dyDescent="0.25">
      <c r="B68" s="50">
        <v>4222</v>
      </c>
      <c r="C68" s="51"/>
      <c r="D68" s="39"/>
      <c r="E68" s="58" t="s">
        <v>160</v>
      </c>
      <c r="F68" s="74">
        <v>37089</v>
      </c>
      <c r="G68" s="73">
        <v>40000</v>
      </c>
      <c r="H68" s="73">
        <v>39171.57</v>
      </c>
      <c r="I68" s="73">
        <f t="shared" si="1"/>
        <v>97.928925000000007</v>
      </c>
    </row>
    <row r="69" spans="2:9" ht="30" customHeight="1" x14ac:dyDescent="0.25">
      <c r="B69" s="50">
        <v>4223</v>
      </c>
      <c r="C69" s="51"/>
      <c r="D69" s="39"/>
      <c r="E69" s="58" t="s">
        <v>161</v>
      </c>
      <c r="F69" s="74">
        <v>79634</v>
      </c>
      <c r="G69" s="73">
        <v>64634</v>
      </c>
      <c r="H69" s="73">
        <v>36175.51</v>
      </c>
      <c r="I69" s="73">
        <f t="shared" si="1"/>
        <v>55.969783705170663</v>
      </c>
    </row>
    <row r="70" spans="2:9" ht="30" customHeight="1" x14ac:dyDescent="0.25">
      <c r="B70" s="50">
        <v>4225</v>
      </c>
      <c r="C70" s="51"/>
      <c r="D70" s="39"/>
      <c r="E70" s="58" t="s">
        <v>163</v>
      </c>
      <c r="F70" s="74">
        <v>13272</v>
      </c>
      <c r="G70" s="73">
        <v>13272</v>
      </c>
      <c r="H70" s="73">
        <v>7627.99</v>
      </c>
      <c r="I70" s="73">
        <f t="shared" si="1"/>
        <v>57.47430681133212</v>
      </c>
    </row>
    <row r="71" spans="2:9" ht="30" customHeight="1" x14ac:dyDescent="0.25">
      <c r="B71" s="50">
        <v>4226</v>
      </c>
      <c r="C71" s="51"/>
      <c r="D71" s="39"/>
      <c r="E71" s="58" t="s">
        <v>164</v>
      </c>
      <c r="F71" s="74">
        <v>1100</v>
      </c>
      <c r="G71" s="73">
        <v>1100</v>
      </c>
      <c r="H71" s="73">
        <v>960.92</v>
      </c>
      <c r="I71" s="73">
        <f t="shared" si="1"/>
        <v>87.356363636363625</v>
      </c>
    </row>
    <row r="72" spans="2:9" ht="30" customHeight="1" x14ac:dyDescent="0.25">
      <c r="B72" s="50">
        <v>4227</v>
      </c>
      <c r="C72" s="51"/>
      <c r="D72" s="39"/>
      <c r="E72" s="58" t="s">
        <v>109</v>
      </c>
      <c r="F72" s="74">
        <v>165904</v>
      </c>
      <c r="G72" s="73">
        <v>165904</v>
      </c>
      <c r="H72" s="73">
        <v>109935.94</v>
      </c>
      <c r="I72" s="73">
        <f t="shared" si="1"/>
        <v>66.264791686758599</v>
      </c>
    </row>
    <row r="73" spans="2:9" ht="30" customHeight="1" x14ac:dyDescent="0.25">
      <c r="B73" s="50">
        <v>4231</v>
      </c>
      <c r="C73" s="51"/>
      <c r="D73" s="39"/>
      <c r="E73" s="58" t="s">
        <v>101</v>
      </c>
      <c r="F73" s="74">
        <v>39804</v>
      </c>
      <c r="G73" s="73">
        <v>59398</v>
      </c>
      <c r="H73" s="73">
        <v>25800</v>
      </c>
      <c r="I73" s="73">
        <f t="shared" si="1"/>
        <v>43.435805919391221</v>
      </c>
    </row>
    <row r="74" spans="2:9" ht="30" customHeight="1" x14ac:dyDescent="0.25">
      <c r="B74" s="50">
        <v>45</v>
      </c>
      <c r="C74" s="51"/>
      <c r="D74" s="39"/>
      <c r="E74" s="58" t="s">
        <v>166</v>
      </c>
      <c r="F74" s="74">
        <f>SUM(F75:F76)</f>
        <v>12318</v>
      </c>
      <c r="G74" s="74">
        <f>SUM(G75:G76)</f>
        <v>12318</v>
      </c>
      <c r="H74" s="74">
        <f t="shared" ref="H74" si="9">SUM(H75:H76)</f>
        <v>8312.35</v>
      </c>
      <c r="I74" s="73">
        <f t="shared" si="1"/>
        <v>67.481328137684699</v>
      </c>
    </row>
    <row r="75" spans="2:9" ht="30" customHeight="1" x14ac:dyDescent="0.25">
      <c r="B75" s="50">
        <v>4511</v>
      </c>
      <c r="C75" s="51"/>
      <c r="D75" s="39"/>
      <c r="E75" s="58" t="s">
        <v>167</v>
      </c>
      <c r="F75" s="74">
        <v>11945</v>
      </c>
      <c r="G75" s="73">
        <v>11945</v>
      </c>
      <c r="H75" s="73">
        <v>7719.67</v>
      </c>
      <c r="I75" s="73">
        <f t="shared" si="1"/>
        <v>64.626789451653408</v>
      </c>
    </row>
    <row r="76" spans="2:9" ht="30" customHeight="1" x14ac:dyDescent="0.25">
      <c r="B76" s="50">
        <v>4521</v>
      </c>
      <c r="C76" s="51"/>
      <c r="D76" s="39"/>
      <c r="E76" s="58" t="s">
        <v>168</v>
      </c>
      <c r="F76" s="74">
        <v>373</v>
      </c>
      <c r="G76" s="73">
        <v>373</v>
      </c>
      <c r="H76" s="73">
        <v>592.67999999999995</v>
      </c>
      <c r="I76" s="73">
        <f t="shared" ref="I76:I160" si="10">H76/G76*100</f>
        <v>158.8954423592493</v>
      </c>
    </row>
    <row r="77" spans="2:9" ht="30" customHeight="1" x14ac:dyDescent="0.25">
      <c r="B77" s="50" t="s">
        <v>194</v>
      </c>
      <c r="C77" s="51"/>
      <c r="D77" s="71"/>
      <c r="E77" s="71" t="s">
        <v>184</v>
      </c>
      <c r="F77" s="74">
        <f>SUM(F78,F84,F114,F117,F119,F121)</f>
        <v>4249974</v>
      </c>
      <c r="G77" s="74">
        <f>SUM(G78,G84,G114,G117,G119,G121)</f>
        <v>4258434</v>
      </c>
      <c r="H77" s="74">
        <f>SUM(H78,H84,H114,H117,H119,H121)</f>
        <v>4386573.209999999</v>
      </c>
      <c r="I77" s="73">
        <f t="shared" si="10"/>
        <v>103.00906882670951</v>
      </c>
    </row>
    <row r="78" spans="2:9" ht="30" customHeight="1" x14ac:dyDescent="0.25">
      <c r="B78" s="50">
        <v>31</v>
      </c>
      <c r="C78" s="51"/>
      <c r="D78" s="39"/>
      <c r="E78" s="58" t="s">
        <v>5</v>
      </c>
      <c r="F78" s="74">
        <f>SUM(F79:F83)</f>
        <v>2369101</v>
      </c>
      <c r="G78" s="74">
        <f t="shared" ref="G78:H78" si="11">SUM(G79:G83)</f>
        <v>2356700</v>
      </c>
      <c r="H78" s="74">
        <f t="shared" si="11"/>
        <v>2950451.16</v>
      </c>
      <c r="I78" s="73">
        <f t="shared" si="10"/>
        <v>125.19417660287691</v>
      </c>
    </row>
    <row r="79" spans="2:9" ht="30" customHeight="1" x14ac:dyDescent="0.25">
      <c r="B79" s="50">
        <v>3111</v>
      </c>
      <c r="C79" s="51"/>
      <c r="D79" s="39"/>
      <c r="E79" s="58" t="s">
        <v>38</v>
      </c>
      <c r="F79" s="74">
        <v>1844847</v>
      </c>
      <c r="G79" s="73">
        <v>1804200</v>
      </c>
      <c r="H79" s="73">
        <v>2212594.2000000002</v>
      </c>
      <c r="I79" s="73">
        <f t="shared" si="10"/>
        <v>122.63574991686066</v>
      </c>
    </row>
    <row r="80" spans="2:9" ht="30" customHeight="1" x14ac:dyDescent="0.25">
      <c r="B80" s="50">
        <v>3113</v>
      </c>
      <c r="C80" s="51"/>
      <c r="D80" s="39"/>
      <c r="E80" s="58" t="s">
        <v>110</v>
      </c>
      <c r="F80" s="74">
        <v>33180</v>
      </c>
      <c r="G80" s="73">
        <v>50000</v>
      </c>
      <c r="H80" s="73">
        <v>51952.73</v>
      </c>
      <c r="I80" s="73">
        <f t="shared" si="10"/>
        <v>103.90546000000001</v>
      </c>
    </row>
    <row r="81" spans="2:9" ht="30" customHeight="1" x14ac:dyDescent="0.25">
      <c r="B81" s="50">
        <v>3121</v>
      </c>
      <c r="C81" s="51"/>
      <c r="D81" s="39"/>
      <c r="E81" s="58" t="s">
        <v>111</v>
      </c>
      <c r="F81" s="74">
        <v>212356</v>
      </c>
      <c r="G81" s="73">
        <v>215000</v>
      </c>
      <c r="H81" s="73">
        <v>303978.69</v>
      </c>
      <c r="I81" s="73">
        <f t="shared" si="10"/>
        <v>141.38543720930232</v>
      </c>
    </row>
    <row r="82" spans="2:9" ht="30" customHeight="1" x14ac:dyDescent="0.25">
      <c r="B82" s="50">
        <v>3131</v>
      </c>
      <c r="C82" s="51"/>
      <c r="D82" s="39"/>
      <c r="E82" s="58" t="s">
        <v>113</v>
      </c>
      <c r="F82" s="74"/>
      <c r="G82" s="73">
        <v>7500</v>
      </c>
      <c r="H82" s="73">
        <v>19615.98</v>
      </c>
      <c r="I82" s="73">
        <f t="shared" si="10"/>
        <v>261.54640000000001</v>
      </c>
    </row>
    <row r="83" spans="2:9" ht="30" customHeight="1" x14ac:dyDescent="0.25">
      <c r="B83" s="50">
        <v>3132</v>
      </c>
      <c r="C83" s="51"/>
      <c r="D83" s="39"/>
      <c r="E83" s="58" t="s">
        <v>114</v>
      </c>
      <c r="F83" s="74">
        <v>278718</v>
      </c>
      <c r="G83" s="73">
        <v>280000</v>
      </c>
      <c r="H83" s="73">
        <v>362309.56</v>
      </c>
      <c r="I83" s="73">
        <f t="shared" si="10"/>
        <v>129.39627142857142</v>
      </c>
    </row>
    <row r="84" spans="2:9" ht="30" customHeight="1" x14ac:dyDescent="0.25">
      <c r="B84" s="50">
        <v>32</v>
      </c>
      <c r="C84" s="51"/>
      <c r="D84" s="39"/>
      <c r="E84" s="58" t="s">
        <v>12</v>
      </c>
      <c r="F84" s="74">
        <f>SUM(F85:F106,F107:F113)</f>
        <v>1525239</v>
      </c>
      <c r="G84" s="74">
        <f>SUM(G85:G87,G90:G106,G107:G113)</f>
        <v>1578267</v>
      </c>
      <c r="H84" s="74">
        <f>SUM(H85:H87,H90:H106,H107:H113)</f>
        <v>1183795.7999999998</v>
      </c>
      <c r="I84" s="73">
        <f t="shared" si="10"/>
        <v>75.006054108715432</v>
      </c>
    </row>
    <row r="85" spans="2:9" ht="30" customHeight="1" x14ac:dyDescent="0.25">
      <c r="B85" s="50">
        <v>3211</v>
      </c>
      <c r="C85" s="51"/>
      <c r="D85" s="39"/>
      <c r="E85" s="58" t="s">
        <v>40</v>
      </c>
      <c r="F85" s="74">
        <v>18448</v>
      </c>
      <c r="G85" s="73">
        <v>17648</v>
      </c>
      <c r="H85" s="73">
        <v>18682.349999999999</v>
      </c>
      <c r="I85" s="73">
        <f t="shared" si="10"/>
        <v>105.8610040797824</v>
      </c>
    </row>
    <row r="86" spans="2:9" ht="30" customHeight="1" x14ac:dyDescent="0.25">
      <c r="B86" s="50">
        <v>3212</v>
      </c>
      <c r="C86" s="51"/>
      <c r="D86" s="39"/>
      <c r="E86" s="58" t="s">
        <v>115</v>
      </c>
      <c r="F86" s="74">
        <v>72998</v>
      </c>
      <c r="G86" s="73">
        <v>85000</v>
      </c>
      <c r="H86" s="73">
        <v>92485.51</v>
      </c>
      <c r="I86" s="73">
        <f t="shared" si="10"/>
        <v>108.80648235294117</v>
      </c>
    </row>
    <row r="87" spans="2:9" ht="30" customHeight="1" x14ac:dyDescent="0.25">
      <c r="B87" s="50">
        <v>3213</v>
      </c>
      <c r="C87" s="51"/>
      <c r="D87" s="39"/>
      <c r="E87" s="58" t="s">
        <v>116</v>
      </c>
      <c r="F87" s="74">
        <v>9291</v>
      </c>
      <c r="G87" s="73">
        <v>9291</v>
      </c>
      <c r="H87" s="73">
        <v>8465.33</v>
      </c>
      <c r="I87" s="73">
        <f t="shared" si="10"/>
        <v>91.113227854913362</v>
      </c>
    </row>
    <row r="88" spans="2:9" ht="25.5" x14ac:dyDescent="0.25">
      <c r="B88" s="111" t="s">
        <v>7</v>
      </c>
      <c r="C88" s="112"/>
      <c r="D88" s="112"/>
      <c r="E88" s="113"/>
      <c r="F88" s="33" t="s">
        <v>60</v>
      </c>
      <c r="G88" s="33" t="s">
        <v>57</v>
      </c>
      <c r="H88" s="33" t="s">
        <v>209</v>
      </c>
      <c r="I88" s="33" t="s">
        <v>58</v>
      </c>
    </row>
    <row r="89" spans="2:9" s="38" customFormat="1" ht="11.25" x14ac:dyDescent="0.2">
      <c r="B89" s="114">
        <v>1</v>
      </c>
      <c r="C89" s="115"/>
      <c r="D89" s="115"/>
      <c r="E89" s="116"/>
      <c r="F89" s="35">
        <v>2</v>
      </c>
      <c r="G89" s="35">
        <v>2</v>
      </c>
      <c r="H89" s="35">
        <v>3</v>
      </c>
      <c r="I89" s="35" t="s">
        <v>215</v>
      </c>
    </row>
    <row r="90" spans="2:9" ht="30" customHeight="1" x14ac:dyDescent="0.25">
      <c r="B90" s="50">
        <v>3214</v>
      </c>
      <c r="C90" s="51"/>
      <c r="D90" s="39"/>
      <c r="E90" s="58" t="s">
        <v>117</v>
      </c>
      <c r="F90" s="74">
        <v>164</v>
      </c>
      <c r="G90" s="73">
        <v>900</v>
      </c>
      <c r="H90" s="73">
        <v>731.12</v>
      </c>
      <c r="I90" s="73">
        <f t="shared" si="10"/>
        <v>81.235555555555564</v>
      </c>
    </row>
    <row r="91" spans="2:9" ht="30" customHeight="1" x14ac:dyDescent="0.25">
      <c r="B91" s="50">
        <v>3221</v>
      </c>
      <c r="C91" s="51"/>
      <c r="D91" s="39"/>
      <c r="E91" s="58" t="s">
        <v>119</v>
      </c>
      <c r="F91" s="74">
        <v>100471</v>
      </c>
      <c r="G91" s="73">
        <v>68548</v>
      </c>
      <c r="H91" s="73">
        <v>32881.050000000003</v>
      </c>
      <c r="I91" s="73">
        <f t="shared" si="10"/>
        <v>47.967920289432229</v>
      </c>
    </row>
    <row r="92" spans="2:9" ht="30" customHeight="1" x14ac:dyDescent="0.25">
      <c r="B92" s="50">
        <v>3222</v>
      </c>
      <c r="C92" s="51"/>
      <c r="D92" s="39"/>
      <c r="E92" s="58" t="s">
        <v>120</v>
      </c>
      <c r="F92" s="74">
        <v>149711</v>
      </c>
      <c r="G92" s="73">
        <v>113766</v>
      </c>
      <c r="H92" s="73">
        <v>66030.28</v>
      </c>
      <c r="I92" s="73">
        <f t="shared" si="10"/>
        <v>58.040433873037635</v>
      </c>
    </row>
    <row r="93" spans="2:9" ht="30" customHeight="1" x14ac:dyDescent="0.25">
      <c r="B93" s="50">
        <v>3223</v>
      </c>
      <c r="C93" s="51"/>
      <c r="D93" s="39"/>
      <c r="E93" s="58" t="s">
        <v>121</v>
      </c>
      <c r="F93" s="74">
        <v>143341</v>
      </c>
      <c r="G93" s="73">
        <v>93341</v>
      </c>
      <c r="H93" s="73">
        <v>109346.41</v>
      </c>
      <c r="I93" s="73">
        <f t="shared" si="10"/>
        <v>117.14724504772822</v>
      </c>
    </row>
    <row r="94" spans="2:9" ht="30" customHeight="1" x14ac:dyDescent="0.25">
      <c r="B94" s="50">
        <v>3224</v>
      </c>
      <c r="C94" s="51"/>
      <c r="D94" s="39"/>
      <c r="E94" s="58" t="s">
        <v>122</v>
      </c>
      <c r="F94" s="74">
        <v>145995</v>
      </c>
      <c r="G94" s="73">
        <v>138032</v>
      </c>
      <c r="H94" s="73">
        <v>63805.99</v>
      </c>
      <c r="I94" s="73">
        <f t="shared" si="10"/>
        <v>46.225505679842357</v>
      </c>
    </row>
    <row r="95" spans="2:9" ht="30" customHeight="1" x14ac:dyDescent="0.25">
      <c r="B95" s="50">
        <v>3225</v>
      </c>
      <c r="C95" s="51"/>
      <c r="D95" s="39"/>
      <c r="E95" s="58" t="s">
        <v>123</v>
      </c>
      <c r="F95" s="74">
        <v>23405</v>
      </c>
      <c r="G95" s="73">
        <v>23405</v>
      </c>
      <c r="H95" s="73">
        <v>5914.86</v>
      </c>
      <c r="I95" s="73">
        <f t="shared" si="10"/>
        <v>25.271779534287543</v>
      </c>
    </row>
    <row r="96" spans="2:9" ht="30" customHeight="1" x14ac:dyDescent="0.25">
      <c r="B96" s="50">
        <v>3227</v>
      </c>
      <c r="C96" s="51"/>
      <c r="D96" s="39"/>
      <c r="E96" s="58" t="s">
        <v>124</v>
      </c>
      <c r="F96" s="74">
        <v>49317</v>
      </c>
      <c r="G96" s="73">
        <v>75000</v>
      </c>
      <c r="H96" s="73">
        <v>76285.399999999994</v>
      </c>
      <c r="I96" s="73">
        <f t="shared" si="10"/>
        <v>101.71386666666666</v>
      </c>
    </row>
    <row r="97" spans="2:9" ht="30" customHeight="1" x14ac:dyDescent="0.25">
      <c r="B97" s="50">
        <v>3231</v>
      </c>
      <c r="C97" s="51"/>
      <c r="D97" s="39"/>
      <c r="E97" s="58" t="s">
        <v>126</v>
      </c>
      <c r="F97" s="74">
        <v>17758</v>
      </c>
      <c r="G97" s="73">
        <v>17758</v>
      </c>
      <c r="H97" s="73">
        <v>9918.19</v>
      </c>
      <c r="I97" s="73">
        <f t="shared" si="10"/>
        <v>55.851954048879385</v>
      </c>
    </row>
    <row r="98" spans="2:9" ht="30" customHeight="1" x14ac:dyDescent="0.25">
      <c r="B98" s="50">
        <v>3232</v>
      </c>
      <c r="C98" s="51"/>
      <c r="D98" s="39"/>
      <c r="E98" s="58" t="s">
        <v>127</v>
      </c>
      <c r="F98" s="74">
        <v>197397</v>
      </c>
      <c r="G98" s="73">
        <v>304928</v>
      </c>
      <c r="H98" s="73">
        <v>103019.83</v>
      </c>
      <c r="I98" s="73">
        <f t="shared" si="10"/>
        <v>33.784968910693678</v>
      </c>
    </row>
    <row r="99" spans="2:9" ht="30" customHeight="1" x14ac:dyDescent="0.25">
      <c r="B99" s="50">
        <v>3233</v>
      </c>
      <c r="C99" s="51"/>
      <c r="D99" s="39"/>
      <c r="E99" s="58" t="s">
        <v>128</v>
      </c>
      <c r="F99" s="74">
        <v>42964</v>
      </c>
      <c r="G99" s="73">
        <v>35370</v>
      </c>
      <c r="H99" s="73">
        <v>3166.63</v>
      </c>
      <c r="I99" s="73">
        <f t="shared" si="10"/>
        <v>8.9528696635566867</v>
      </c>
    </row>
    <row r="100" spans="2:9" ht="30" customHeight="1" x14ac:dyDescent="0.25">
      <c r="B100" s="50">
        <v>3234</v>
      </c>
      <c r="C100" s="51"/>
      <c r="D100" s="39"/>
      <c r="E100" s="58" t="s">
        <v>129</v>
      </c>
      <c r="F100" s="74">
        <v>72997</v>
      </c>
      <c r="G100" s="73">
        <v>72997</v>
      </c>
      <c r="H100" s="73">
        <v>95719.92</v>
      </c>
      <c r="I100" s="73">
        <f t="shared" si="10"/>
        <v>131.12856692740797</v>
      </c>
    </row>
    <row r="101" spans="2:9" ht="30" customHeight="1" x14ac:dyDescent="0.25">
      <c r="B101" s="50">
        <v>3235</v>
      </c>
      <c r="C101" s="51"/>
      <c r="D101" s="39"/>
      <c r="E101" s="58" t="s">
        <v>130</v>
      </c>
      <c r="F101" s="74">
        <v>19636</v>
      </c>
      <c r="G101" s="73">
        <v>6581</v>
      </c>
      <c r="H101" s="73">
        <v>291.99</v>
      </c>
      <c r="I101" s="73">
        <f t="shared" si="10"/>
        <v>4.4368636985260599</v>
      </c>
    </row>
    <row r="102" spans="2:9" ht="30" customHeight="1" x14ac:dyDescent="0.25">
      <c r="B102" s="50">
        <v>3236</v>
      </c>
      <c r="C102" s="51"/>
      <c r="D102" s="39"/>
      <c r="E102" s="58" t="s">
        <v>131</v>
      </c>
      <c r="F102" s="74">
        <v>19643</v>
      </c>
      <c r="G102" s="73">
        <v>34188</v>
      </c>
      <c r="H102" s="73">
        <v>26409.59</v>
      </c>
      <c r="I102" s="73">
        <f t="shared" si="10"/>
        <v>77.248127998127998</v>
      </c>
    </row>
    <row r="103" spans="2:9" ht="30" customHeight="1" x14ac:dyDescent="0.25">
      <c r="B103" s="50">
        <v>3237</v>
      </c>
      <c r="C103" s="51"/>
      <c r="D103" s="39"/>
      <c r="E103" s="58" t="s">
        <v>132</v>
      </c>
      <c r="F103" s="74">
        <v>166977</v>
      </c>
      <c r="G103" s="73">
        <v>186061</v>
      </c>
      <c r="H103" s="73">
        <v>145358.47</v>
      </c>
      <c r="I103" s="73">
        <f t="shared" si="10"/>
        <v>78.124093711202235</v>
      </c>
    </row>
    <row r="104" spans="2:9" ht="30" customHeight="1" x14ac:dyDescent="0.25">
      <c r="B104" s="50">
        <v>3238</v>
      </c>
      <c r="C104" s="51"/>
      <c r="D104" s="39"/>
      <c r="E104" s="58" t="s">
        <v>133</v>
      </c>
      <c r="F104" s="74">
        <v>93724</v>
      </c>
      <c r="G104" s="73">
        <v>75998</v>
      </c>
      <c r="H104" s="73">
        <v>71208.460000000006</v>
      </c>
      <c r="I104" s="73">
        <f t="shared" si="10"/>
        <v>93.697807837048359</v>
      </c>
    </row>
    <row r="105" spans="2:9" ht="30" customHeight="1" x14ac:dyDescent="0.25">
      <c r="B105" s="50">
        <v>3239</v>
      </c>
      <c r="C105" s="51"/>
      <c r="D105" s="39"/>
      <c r="E105" s="58" t="s">
        <v>134</v>
      </c>
      <c r="F105" s="74">
        <v>55577</v>
      </c>
      <c r="G105" s="73">
        <v>55577</v>
      </c>
      <c r="H105" s="73">
        <v>58695.43</v>
      </c>
      <c r="I105" s="73">
        <f t="shared" si="10"/>
        <v>105.61100815085378</v>
      </c>
    </row>
    <row r="106" spans="2:9" ht="30" customHeight="1" x14ac:dyDescent="0.25">
      <c r="B106" s="50">
        <v>3241</v>
      </c>
      <c r="C106" s="51"/>
      <c r="D106" s="39"/>
      <c r="E106" s="58" t="s">
        <v>135</v>
      </c>
      <c r="F106" s="74">
        <v>2654</v>
      </c>
      <c r="G106" s="73">
        <v>2654</v>
      </c>
      <c r="H106" s="73">
        <v>1057.76</v>
      </c>
      <c r="I106" s="73">
        <f t="shared" si="10"/>
        <v>39.855312735493591</v>
      </c>
    </row>
    <row r="107" spans="2:9" ht="30" customHeight="1" x14ac:dyDescent="0.25">
      <c r="B107" s="50">
        <v>3291</v>
      </c>
      <c r="C107" s="51"/>
      <c r="D107" s="39"/>
      <c r="E107" s="59" t="s">
        <v>137</v>
      </c>
      <c r="F107" s="74">
        <v>13272</v>
      </c>
      <c r="G107" s="73">
        <v>13272</v>
      </c>
      <c r="H107" s="73">
        <v>15124.52</v>
      </c>
      <c r="I107" s="73">
        <f t="shared" si="10"/>
        <v>113.95810729355034</v>
      </c>
    </row>
    <row r="108" spans="2:9" ht="30" customHeight="1" x14ac:dyDescent="0.25">
      <c r="B108" s="50">
        <v>3292</v>
      </c>
      <c r="C108" s="51"/>
      <c r="D108" s="39"/>
      <c r="E108" s="58" t="s">
        <v>138</v>
      </c>
      <c r="F108" s="74">
        <v>39817</v>
      </c>
      <c r="G108" s="73">
        <v>39817</v>
      </c>
      <c r="H108" s="73">
        <v>87969.42</v>
      </c>
      <c r="I108" s="73">
        <f t="shared" si="10"/>
        <v>220.93432453474645</v>
      </c>
    </row>
    <row r="109" spans="2:9" ht="30" customHeight="1" x14ac:dyDescent="0.25">
      <c r="B109" s="50">
        <v>3293</v>
      </c>
      <c r="C109" s="51"/>
      <c r="D109" s="39"/>
      <c r="E109" s="58" t="s">
        <v>139</v>
      </c>
      <c r="F109" s="74">
        <v>14600</v>
      </c>
      <c r="G109" s="73">
        <v>14600</v>
      </c>
      <c r="H109" s="73">
        <v>4749.66</v>
      </c>
      <c r="I109" s="73">
        <f t="shared" si="10"/>
        <v>32.531917808219177</v>
      </c>
    </row>
    <row r="110" spans="2:9" ht="30" customHeight="1" x14ac:dyDescent="0.25">
      <c r="B110" s="50">
        <v>3294</v>
      </c>
      <c r="C110" s="51"/>
      <c r="D110" s="39"/>
      <c r="E110" s="58" t="s">
        <v>140</v>
      </c>
      <c r="F110" s="74">
        <v>664</v>
      </c>
      <c r="G110" s="73">
        <v>664</v>
      </c>
      <c r="H110" s="73">
        <v>915.01</v>
      </c>
      <c r="I110" s="73">
        <f t="shared" si="10"/>
        <v>137.80271084337349</v>
      </c>
    </row>
    <row r="111" spans="2:9" ht="30" customHeight="1" x14ac:dyDescent="0.25">
      <c r="B111" s="50">
        <v>3295</v>
      </c>
      <c r="C111" s="51"/>
      <c r="D111" s="39"/>
      <c r="E111" s="58" t="s">
        <v>141</v>
      </c>
      <c r="F111" s="74">
        <v>26544</v>
      </c>
      <c r="G111" s="73">
        <v>26544</v>
      </c>
      <c r="H111" s="73">
        <v>34131.9</v>
      </c>
      <c r="I111" s="73">
        <f t="shared" si="10"/>
        <v>128.58612115732367</v>
      </c>
    </row>
    <row r="112" spans="2:9" ht="30" customHeight="1" x14ac:dyDescent="0.25">
      <c r="B112" s="50">
        <v>3296</v>
      </c>
      <c r="C112" s="51"/>
      <c r="D112" s="39"/>
      <c r="E112" s="58" t="s">
        <v>142</v>
      </c>
      <c r="F112" s="74">
        <v>1327</v>
      </c>
      <c r="G112" s="73">
        <v>1327</v>
      </c>
      <c r="H112" s="73">
        <v>0</v>
      </c>
      <c r="I112" s="73">
        <f t="shared" si="10"/>
        <v>0</v>
      </c>
    </row>
    <row r="113" spans="2:9" ht="30" customHeight="1" x14ac:dyDescent="0.25">
      <c r="B113" s="50">
        <v>3299</v>
      </c>
      <c r="C113" s="51"/>
      <c r="D113" s="39"/>
      <c r="E113" s="58" t="s">
        <v>136</v>
      </c>
      <c r="F113" s="74">
        <v>26545</v>
      </c>
      <c r="G113" s="73">
        <v>65000</v>
      </c>
      <c r="H113" s="73">
        <v>51430.720000000001</v>
      </c>
      <c r="I113" s="73">
        <f t="shared" si="10"/>
        <v>79.124184615384621</v>
      </c>
    </row>
    <row r="114" spans="2:9" ht="30" customHeight="1" x14ac:dyDescent="0.25">
      <c r="B114" s="50">
        <v>34</v>
      </c>
      <c r="C114" s="51"/>
      <c r="D114" s="39"/>
      <c r="E114" s="58" t="s">
        <v>143</v>
      </c>
      <c r="F114" s="74">
        <f>SUM(F115:F116)</f>
        <v>14664</v>
      </c>
      <c r="G114" s="74">
        <f>SUM(G115:G116)</f>
        <v>14664</v>
      </c>
      <c r="H114" s="74">
        <f t="shared" ref="H114" si="12">SUM(H115:H116)</f>
        <v>16060.78</v>
      </c>
      <c r="I114" s="73">
        <f t="shared" si="10"/>
        <v>109.52523186033825</v>
      </c>
    </row>
    <row r="115" spans="2:9" ht="30" customHeight="1" x14ac:dyDescent="0.25">
      <c r="B115" s="50">
        <v>3431</v>
      </c>
      <c r="C115" s="51"/>
      <c r="D115" s="39"/>
      <c r="E115" s="58" t="s">
        <v>147</v>
      </c>
      <c r="F115" s="74">
        <v>14600</v>
      </c>
      <c r="G115" s="73">
        <v>14600</v>
      </c>
      <c r="H115" s="73">
        <v>15756.61</v>
      </c>
      <c r="I115" s="73">
        <f t="shared" si="10"/>
        <v>107.92198630136987</v>
      </c>
    </row>
    <row r="116" spans="2:9" ht="30" customHeight="1" x14ac:dyDescent="0.25">
      <c r="B116" s="50">
        <v>3433</v>
      </c>
      <c r="C116" s="51"/>
      <c r="D116" s="39"/>
      <c r="E116" s="58" t="s">
        <v>149</v>
      </c>
      <c r="F116" s="74">
        <v>64</v>
      </c>
      <c r="G116" s="73">
        <v>64</v>
      </c>
      <c r="H116" s="73">
        <v>304.17</v>
      </c>
      <c r="I116" s="73">
        <f t="shared" si="10"/>
        <v>475.265625</v>
      </c>
    </row>
    <row r="117" spans="2:9" ht="30" customHeight="1" x14ac:dyDescent="0.25">
      <c r="B117" s="50">
        <v>36</v>
      </c>
      <c r="C117" s="51"/>
      <c r="D117" s="39"/>
      <c r="E117" s="58" t="s">
        <v>150</v>
      </c>
      <c r="F117" s="74">
        <f>SUM(F118)</f>
        <v>119451</v>
      </c>
      <c r="G117" s="74">
        <f t="shared" ref="G117:H117" si="13">SUM(G118)</f>
        <v>119451</v>
      </c>
      <c r="H117" s="74">
        <f t="shared" si="13"/>
        <v>161549.87</v>
      </c>
      <c r="I117" s="73">
        <f t="shared" si="10"/>
        <v>135.24363127977162</v>
      </c>
    </row>
    <row r="118" spans="2:9" ht="30" customHeight="1" x14ac:dyDescent="0.25">
      <c r="B118" s="50">
        <v>3691</v>
      </c>
      <c r="C118" s="51"/>
      <c r="D118" s="39"/>
      <c r="E118" s="58" t="s">
        <v>81</v>
      </c>
      <c r="F118" s="74">
        <v>119451</v>
      </c>
      <c r="G118" s="73">
        <v>119451</v>
      </c>
      <c r="H118" s="73">
        <v>161549.87</v>
      </c>
      <c r="I118" s="73">
        <f t="shared" si="10"/>
        <v>135.24363127977162</v>
      </c>
    </row>
    <row r="119" spans="2:9" ht="30" customHeight="1" x14ac:dyDescent="0.25">
      <c r="B119" s="50">
        <v>38</v>
      </c>
      <c r="C119" s="51"/>
      <c r="D119" s="39"/>
      <c r="E119" s="58" t="s">
        <v>195</v>
      </c>
      <c r="F119" s="74">
        <f>SUM(F120)</f>
        <v>0</v>
      </c>
      <c r="G119" s="74">
        <f t="shared" ref="G119:H119" si="14">SUM(G120)</f>
        <v>0</v>
      </c>
      <c r="H119" s="74">
        <f t="shared" si="14"/>
        <v>0</v>
      </c>
      <c r="I119" s="73"/>
    </row>
    <row r="120" spans="2:9" ht="30" customHeight="1" x14ac:dyDescent="0.25">
      <c r="B120" s="50">
        <v>3835</v>
      </c>
      <c r="C120" s="51"/>
      <c r="D120" s="39"/>
      <c r="E120" s="58" t="s">
        <v>98</v>
      </c>
      <c r="F120" s="74"/>
      <c r="G120" s="73">
        <v>0</v>
      </c>
      <c r="H120" s="73">
        <v>0</v>
      </c>
      <c r="I120" s="73"/>
    </row>
    <row r="121" spans="2:9" ht="30" customHeight="1" x14ac:dyDescent="0.25">
      <c r="B121" s="50">
        <v>42</v>
      </c>
      <c r="C121" s="51"/>
      <c r="D121" s="39"/>
      <c r="E121" s="58" t="s">
        <v>154</v>
      </c>
      <c r="F121" s="74">
        <f>SUM(F122:F133)</f>
        <v>221519</v>
      </c>
      <c r="G121" s="74">
        <f>SUM(G122:G129,G132:G133)</f>
        <v>189352</v>
      </c>
      <c r="H121" s="74">
        <f>SUM(H122:H129,H132:H133)</f>
        <v>74715.600000000006</v>
      </c>
      <c r="I121" s="73">
        <f t="shared" si="10"/>
        <v>39.458574506738778</v>
      </c>
    </row>
    <row r="122" spans="2:9" ht="30" customHeight="1" x14ac:dyDescent="0.25">
      <c r="B122" s="50">
        <v>4212</v>
      </c>
      <c r="C122" s="51"/>
      <c r="D122" s="39"/>
      <c r="E122" s="58" t="s">
        <v>156</v>
      </c>
      <c r="F122" s="74">
        <v>24554</v>
      </c>
      <c r="G122" s="73">
        <v>14226</v>
      </c>
      <c r="H122" s="73">
        <v>8132.48</v>
      </c>
      <c r="I122" s="73">
        <f t="shared" si="10"/>
        <v>57.166315197525655</v>
      </c>
    </row>
    <row r="123" spans="2:9" ht="30" customHeight="1" x14ac:dyDescent="0.25">
      <c r="B123" s="50">
        <v>4214</v>
      </c>
      <c r="C123" s="51"/>
      <c r="D123" s="39"/>
      <c r="E123" s="58" t="s">
        <v>154</v>
      </c>
      <c r="F123" s="74">
        <v>9146</v>
      </c>
      <c r="G123" s="73">
        <v>9146</v>
      </c>
      <c r="H123" s="73">
        <v>0</v>
      </c>
      <c r="I123" s="73">
        <f t="shared" si="10"/>
        <v>0</v>
      </c>
    </row>
    <row r="124" spans="2:9" ht="30" customHeight="1" x14ac:dyDescent="0.25">
      <c r="B124" s="50">
        <v>4221</v>
      </c>
      <c r="C124" s="51"/>
      <c r="D124" s="39"/>
      <c r="E124" s="58" t="s">
        <v>159</v>
      </c>
      <c r="F124" s="74">
        <v>18315</v>
      </c>
      <c r="G124" s="73">
        <v>39248</v>
      </c>
      <c r="H124" s="73">
        <v>21393.33</v>
      </c>
      <c r="I124" s="73">
        <f t="shared" si="10"/>
        <v>54.508076844679984</v>
      </c>
    </row>
    <row r="125" spans="2:9" ht="30" customHeight="1" x14ac:dyDescent="0.25">
      <c r="B125" s="50">
        <v>4222</v>
      </c>
      <c r="C125" s="51"/>
      <c r="D125" s="39"/>
      <c r="E125" s="58" t="s">
        <v>160</v>
      </c>
      <c r="F125" s="74">
        <v>6769</v>
      </c>
      <c r="G125" s="73">
        <v>3858</v>
      </c>
      <c r="H125" s="73">
        <v>2729.31</v>
      </c>
      <c r="I125" s="73">
        <f t="shared" si="10"/>
        <v>70.744167962674965</v>
      </c>
    </row>
    <row r="126" spans="2:9" ht="30" customHeight="1" x14ac:dyDescent="0.25">
      <c r="B126" s="50">
        <v>4223</v>
      </c>
      <c r="C126" s="51"/>
      <c r="D126" s="39"/>
      <c r="E126" s="58" t="s">
        <v>161</v>
      </c>
      <c r="F126" s="74">
        <v>71524</v>
      </c>
      <c r="G126" s="73">
        <v>56574</v>
      </c>
      <c r="H126" s="73">
        <v>18810.14</v>
      </c>
      <c r="I126" s="73">
        <f t="shared" si="10"/>
        <v>33.248736168557997</v>
      </c>
    </row>
    <row r="127" spans="2:9" ht="30" customHeight="1" x14ac:dyDescent="0.25">
      <c r="B127" s="50">
        <v>4224</v>
      </c>
      <c r="C127" s="51"/>
      <c r="D127" s="39"/>
      <c r="E127" s="58" t="s">
        <v>162</v>
      </c>
      <c r="F127" s="74">
        <v>4154</v>
      </c>
      <c r="G127" s="73">
        <v>4154</v>
      </c>
      <c r="H127" s="73">
        <v>2449.13</v>
      </c>
      <c r="I127" s="73">
        <f t="shared" si="10"/>
        <v>58.958353394318728</v>
      </c>
    </row>
    <row r="128" spans="2:9" ht="30" customHeight="1" x14ac:dyDescent="0.25">
      <c r="B128" s="50">
        <v>4225</v>
      </c>
      <c r="C128" s="51"/>
      <c r="D128" s="39"/>
      <c r="E128" s="58" t="s">
        <v>163</v>
      </c>
      <c r="F128" s="74">
        <v>23276</v>
      </c>
      <c r="G128" s="73">
        <v>6491</v>
      </c>
      <c r="H128" s="73">
        <v>592.11</v>
      </c>
      <c r="I128" s="73">
        <f t="shared" si="10"/>
        <v>9.1220150978277612</v>
      </c>
    </row>
    <row r="129" spans="2:9" ht="30" customHeight="1" x14ac:dyDescent="0.25">
      <c r="B129" s="50">
        <v>4226</v>
      </c>
      <c r="C129" s="51"/>
      <c r="D129" s="39"/>
      <c r="E129" s="58" t="s">
        <v>164</v>
      </c>
      <c r="F129" s="74">
        <v>3318</v>
      </c>
      <c r="G129" s="73">
        <v>3318</v>
      </c>
      <c r="H129" s="73">
        <v>477.92</v>
      </c>
      <c r="I129" s="73">
        <f t="shared" si="10"/>
        <v>14.403857745629898</v>
      </c>
    </row>
    <row r="130" spans="2:9" ht="25.5" x14ac:dyDescent="0.25">
      <c r="B130" s="111" t="s">
        <v>7</v>
      </c>
      <c r="C130" s="112"/>
      <c r="D130" s="112"/>
      <c r="E130" s="113"/>
      <c r="F130" s="33" t="s">
        <v>60</v>
      </c>
      <c r="G130" s="33" t="s">
        <v>57</v>
      </c>
      <c r="H130" s="33" t="s">
        <v>209</v>
      </c>
      <c r="I130" s="33" t="s">
        <v>58</v>
      </c>
    </row>
    <row r="131" spans="2:9" s="38" customFormat="1" ht="11.25" x14ac:dyDescent="0.2">
      <c r="B131" s="114">
        <v>1</v>
      </c>
      <c r="C131" s="115"/>
      <c r="D131" s="115"/>
      <c r="E131" s="116"/>
      <c r="F131" s="35">
        <v>2</v>
      </c>
      <c r="G131" s="35">
        <v>2</v>
      </c>
      <c r="H131" s="35">
        <v>3</v>
      </c>
      <c r="I131" s="35" t="s">
        <v>215</v>
      </c>
    </row>
    <row r="132" spans="2:9" ht="30" customHeight="1" x14ac:dyDescent="0.25">
      <c r="B132" s="50">
        <v>4227</v>
      </c>
      <c r="C132" s="51"/>
      <c r="D132" s="39"/>
      <c r="E132" s="58" t="s">
        <v>109</v>
      </c>
      <c r="F132" s="74">
        <v>39225</v>
      </c>
      <c r="G132" s="73">
        <v>31101</v>
      </c>
      <c r="H132" s="73">
        <v>15371.18</v>
      </c>
      <c r="I132" s="73">
        <f t="shared" si="10"/>
        <v>49.423426899456608</v>
      </c>
    </row>
    <row r="133" spans="2:9" ht="30" customHeight="1" x14ac:dyDescent="0.25">
      <c r="B133" s="50">
        <v>4231</v>
      </c>
      <c r="C133" s="51"/>
      <c r="D133" s="39"/>
      <c r="E133" s="58" t="s">
        <v>101</v>
      </c>
      <c r="F133" s="74">
        <v>21236</v>
      </c>
      <c r="G133" s="73">
        <v>21236</v>
      </c>
      <c r="H133" s="73">
        <v>4760</v>
      </c>
      <c r="I133" s="73">
        <f t="shared" si="10"/>
        <v>22.414767376153701</v>
      </c>
    </row>
    <row r="134" spans="2:9" ht="30" customHeight="1" x14ac:dyDescent="0.25">
      <c r="B134" s="50" t="s">
        <v>216</v>
      </c>
      <c r="C134" s="51"/>
      <c r="D134" s="39"/>
      <c r="E134" s="58" t="s">
        <v>214</v>
      </c>
      <c r="F134" s="74">
        <f>SUM(F135,F137,F140)</f>
        <v>276877</v>
      </c>
      <c r="G134" s="74">
        <f>SUM(G135,G137,G140)</f>
        <v>92947</v>
      </c>
      <c r="H134" s="74">
        <f>SUM(H135,H137,H140)</f>
        <v>92944.45</v>
      </c>
      <c r="I134" s="73">
        <f t="shared" ref="I134:I141" si="15">H134/G134*100</f>
        <v>99.997256501016707</v>
      </c>
    </row>
    <row r="135" spans="2:9" ht="30" customHeight="1" x14ac:dyDescent="0.25">
      <c r="B135" s="50">
        <v>31</v>
      </c>
      <c r="C135" s="51"/>
      <c r="D135" s="39"/>
      <c r="E135" s="58" t="s">
        <v>5</v>
      </c>
      <c r="F135" s="74">
        <f>SUM(F136)</f>
        <v>3000</v>
      </c>
      <c r="G135" s="74">
        <f>SUM(G136)</f>
        <v>88131</v>
      </c>
      <c r="H135" s="74">
        <f>SUM(H136)</f>
        <v>88130.04</v>
      </c>
      <c r="I135" s="73">
        <f t="shared" si="15"/>
        <v>99.99891071246212</v>
      </c>
    </row>
    <row r="136" spans="2:9" ht="30" customHeight="1" x14ac:dyDescent="0.25">
      <c r="B136" s="50">
        <v>3111</v>
      </c>
      <c r="C136" s="51"/>
      <c r="D136" s="39"/>
      <c r="E136" s="58" t="s">
        <v>38</v>
      </c>
      <c r="F136" s="74">
        <v>3000</v>
      </c>
      <c r="G136" s="73">
        <v>88131</v>
      </c>
      <c r="H136" s="73">
        <v>88130.04</v>
      </c>
      <c r="I136" s="73">
        <f t="shared" si="15"/>
        <v>99.99891071246212</v>
      </c>
    </row>
    <row r="137" spans="2:9" ht="30" customHeight="1" x14ac:dyDescent="0.25">
      <c r="B137" s="50">
        <v>32</v>
      </c>
      <c r="C137" s="51"/>
      <c r="D137" s="39"/>
      <c r="E137" s="58" t="s">
        <v>12</v>
      </c>
      <c r="F137" s="74">
        <f>SUM(F138:F138)</f>
        <v>265913</v>
      </c>
      <c r="G137" s="74">
        <f>SUM(G138:G139)</f>
        <v>4500</v>
      </c>
      <c r="H137" s="74">
        <f>SUM(H138:H139)</f>
        <v>4498.92</v>
      </c>
      <c r="I137" s="73">
        <f t="shared" si="15"/>
        <v>99.975999999999999</v>
      </c>
    </row>
    <row r="138" spans="2:9" ht="30" customHeight="1" x14ac:dyDescent="0.25">
      <c r="B138" s="50">
        <v>3237</v>
      </c>
      <c r="C138" s="51"/>
      <c r="D138" s="39"/>
      <c r="E138" s="58" t="s">
        <v>132</v>
      </c>
      <c r="F138" s="74">
        <v>265913</v>
      </c>
      <c r="G138" s="73">
        <v>249</v>
      </c>
      <c r="H138" s="73">
        <v>248.08</v>
      </c>
      <c r="I138" s="73">
        <f t="shared" si="15"/>
        <v>99.63052208835343</v>
      </c>
    </row>
    <row r="139" spans="2:9" ht="30" customHeight="1" x14ac:dyDescent="0.25">
      <c r="B139" s="50">
        <v>3239</v>
      </c>
      <c r="C139" s="51"/>
      <c r="D139" s="39"/>
      <c r="E139" s="58" t="s">
        <v>134</v>
      </c>
      <c r="F139" s="74"/>
      <c r="G139" s="74">
        <v>4251</v>
      </c>
      <c r="H139" s="74">
        <v>4250.84</v>
      </c>
      <c r="I139" s="73">
        <f t="shared" si="15"/>
        <v>99.996236179722416</v>
      </c>
    </row>
    <row r="140" spans="2:9" ht="30" customHeight="1" x14ac:dyDescent="0.25">
      <c r="B140" s="50">
        <v>42</v>
      </c>
      <c r="C140" s="51"/>
      <c r="D140" s="39"/>
      <c r="E140" s="58" t="s">
        <v>154</v>
      </c>
      <c r="F140" s="74">
        <f>SUM(F141:F141)</f>
        <v>7964</v>
      </c>
      <c r="G140" s="74">
        <f>SUM(G141)</f>
        <v>316</v>
      </c>
      <c r="H140" s="74">
        <f>SUM(H141)</f>
        <v>315.49</v>
      </c>
      <c r="I140" s="73">
        <f t="shared" si="15"/>
        <v>99.838607594936718</v>
      </c>
    </row>
    <row r="141" spans="2:9" ht="30" customHeight="1" x14ac:dyDescent="0.25">
      <c r="B141" s="50">
        <v>4221</v>
      </c>
      <c r="C141" s="51"/>
      <c r="D141" s="39"/>
      <c r="E141" s="58" t="s">
        <v>159</v>
      </c>
      <c r="F141" s="74">
        <v>7964</v>
      </c>
      <c r="G141" s="73">
        <v>316</v>
      </c>
      <c r="H141" s="73">
        <v>315.49</v>
      </c>
      <c r="I141" s="73">
        <f t="shared" si="15"/>
        <v>99.838607594936718</v>
      </c>
    </row>
    <row r="142" spans="2:9" ht="30" customHeight="1" x14ac:dyDescent="0.25">
      <c r="B142" s="50" t="s">
        <v>196</v>
      </c>
      <c r="C142" s="51"/>
      <c r="D142" s="39"/>
      <c r="E142" s="58" t="s">
        <v>185</v>
      </c>
      <c r="F142" s="74">
        <f>SUM(F143,F145,F156)</f>
        <v>343027</v>
      </c>
      <c r="G142" s="74">
        <f>SUM(G143,G145,G156)</f>
        <v>347027</v>
      </c>
      <c r="H142" s="74">
        <f t="shared" ref="H142" si="16">SUM(H143,H145,H156)</f>
        <v>166539.12</v>
      </c>
      <c r="I142" s="73">
        <f t="shared" si="10"/>
        <v>47.990248597371384</v>
      </c>
    </row>
    <row r="143" spans="2:9" ht="30" customHeight="1" x14ac:dyDescent="0.25">
      <c r="B143" s="50">
        <v>31</v>
      </c>
      <c r="C143" s="51"/>
      <c r="D143" s="39"/>
      <c r="E143" s="58" t="s">
        <v>5</v>
      </c>
      <c r="F143" s="74">
        <f>SUM(F144)</f>
        <v>3000</v>
      </c>
      <c r="G143" s="74">
        <f t="shared" ref="G143:H143" si="17">SUM(G144)</f>
        <v>7800</v>
      </c>
      <c r="H143" s="74">
        <f t="shared" si="17"/>
        <v>5656.8</v>
      </c>
      <c r="I143" s="73">
        <f t="shared" si="10"/>
        <v>72.523076923076928</v>
      </c>
    </row>
    <row r="144" spans="2:9" ht="30" customHeight="1" x14ac:dyDescent="0.25">
      <c r="B144" s="50">
        <v>3111</v>
      </c>
      <c r="C144" s="51"/>
      <c r="D144" s="39"/>
      <c r="E144" s="58" t="s">
        <v>38</v>
      </c>
      <c r="F144" s="74">
        <v>3000</v>
      </c>
      <c r="G144" s="73">
        <v>7800</v>
      </c>
      <c r="H144" s="73">
        <v>5656.8</v>
      </c>
      <c r="I144" s="73">
        <f t="shared" si="10"/>
        <v>72.523076923076928</v>
      </c>
    </row>
    <row r="145" spans="2:9" ht="30" customHeight="1" x14ac:dyDescent="0.25">
      <c r="B145" s="50">
        <v>32</v>
      </c>
      <c r="C145" s="51"/>
      <c r="D145" s="39"/>
      <c r="E145" s="58" t="s">
        <v>12</v>
      </c>
      <c r="F145" s="74">
        <f>SUM(F147:F153)</f>
        <v>298649</v>
      </c>
      <c r="G145" s="74">
        <f>SUM(G146:G155)</f>
        <v>318842</v>
      </c>
      <c r="H145" s="74">
        <f>SUM(H146:H155)</f>
        <v>109952.31999999999</v>
      </c>
      <c r="I145" s="73">
        <f t="shared" si="10"/>
        <v>34.484892203662</v>
      </c>
    </row>
    <row r="146" spans="2:9" ht="30" customHeight="1" x14ac:dyDescent="0.25">
      <c r="B146" s="50">
        <v>3211</v>
      </c>
      <c r="C146" s="51"/>
      <c r="D146" s="39"/>
      <c r="E146" s="58" t="s">
        <v>40</v>
      </c>
      <c r="F146" s="74"/>
      <c r="G146" s="74">
        <v>800</v>
      </c>
      <c r="H146" s="74">
        <v>662.22</v>
      </c>
      <c r="I146" s="73"/>
    </row>
    <row r="147" spans="2:9" ht="30" customHeight="1" x14ac:dyDescent="0.25">
      <c r="B147" s="50">
        <v>3222</v>
      </c>
      <c r="C147" s="51"/>
      <c r="D147" s="39"/>
      <c r="E147" s="58" t="s">
        <v>120</v>
      </c>
      <c r="F147" s="74">
        <v>2655</v>
      </c>
      <c r="G147" s="73">
        <v>20655</v>
      </c>
      <c r="H147" s="73">
        <v>20655</v>
      </c>
      <c r="I147" s="73">
        <f t="shared" si="10"/>
        <v>100</v>
      </c>
    </row>
    <row r="148" spans="2:9" ht="30" customHeight="1" x14ac:dyDescent="0.25">
      <c r="B148" s="50">
        <v>3223</v>
      </c>
      <c r="C148" s="51"/>
      <c r="D148" s="39"/>
      <c r="E148" s="58" t="s">
        <v>121</v>
      </c>
      <c r="F148" s="74"/>
      <c r="G148" s="73">
        <v>0</v>
      </c>
      <c r="H148" s="73">
        <v>51.06</v>
      </c>
      <c r="I148" s="73"/>
    </row>
    <row r="149" spans="2:9" ht="30" customHeight="1" x14ac:dyDescent="0.25">
      <c r="B149" s="50">
        <v>3224</v>
      </c>
      <c r="C149" s="51"/>
      <c r="D149" s="39"/>
      <c r="E149" s="58" t="s">
        <v>122</v>
      </c>
      <c r="F149" s="74"/>
      <c r="G149" s="73">
        <v>21000</v>
      </c>
      <c r="H149" s="73">
        <v>7388.82</v>
      </c>
      <c r="I149" s="73">
        <f t="shared" si="10"/>
        <v>35.18485714285714</v>
      </c>
    </row>
    <row r="150" spans="2:9" ht="30" customHeight="1" x14ac:dyDescent="0.25">
      <c r="B150" s="50">
        <v>3232</v>
      </c>
      <c r="C150" s="51"/>
      <c r="D150" s="39"/>
      <c r="E150" s="58" t="s">
        <v>127</v>
      </c>
      <c r="F150" s="74">
        <v>30081</v>
      </c>
      <c r="G150" s="73">
        <v>42937</v>
      </c>
      <c r="H150" s="73">
        <v>6903.86</v>
      </c>
      <c r="I150" s="73">
        <f t="shared" si="10"/>
        <v>16.079046044204297</v>
      </c>
    </row>
    <row r="151" spans="2:9" ht="30" customHeight="1" x14ac:dyDescent="0.25">
      <c r="B151" s="50">
        <v>3233</v>
      </c>
      <c r="C151" s="51"/>
      <c r="D151" s="39"/>
      <c r="E151" s="58" t="s">
        <v>128</v>
      </c>
      <c r="F151" s="74"/>
      <c r="G151" s="73">
        <v>1593</v>
      </c>
      <c r="H151" s="73">
        <v>0</v>
      </c>
      <c r="I151" s="73">
        <f t="shared" si="10"/>
        <v>0</v>
      </c>
    </row>
    <row r="152" spans="2:9" ht="30" customHeight="1" x14ac:dyDescent="0.25">
      <c r="B152" s="50">
        <v>3236</v>
      </c>
      <c r="C152" s="51"/>
      <c r="D152" s="39"/>
      <c r="E152" s="58" t="s">
        <v>131</v>
      </c>
      <c r="F152" s="74"/>
      <c r="G152" s="73">
        <v>0</v>
      </c>
      <c r="H152" s="73">
        <v>4587.17</v>
      </c>
      <c r="I152" s="73"/>
    </row>
    <row r="153" spans="2:9" ht="30" customHeight="1" x14ac:dyDescent="0.25">
      <c r="B153" s="50">
        <v>3237</v>
      </c>
      <c r="C153" s="51"/>
      <c r="D153" s="39"/>
      <c r="E153" s="58" t="s">
        <v>132</v>
      </c>
      <c r="F153" s="74">
        <v>265913</v>
      </c>
      <c r="G153" s="73">
        <v>231257</v>
      </c>
      <c r="H153" s="73">
        <v>64077.35</v>
      </c>
      <c r="I153" s="73">
        <f t="shared" si="10"/>
        <v>27.708285587030879</v>
      </c>
    </row>
    <row r="154" spans="2:9" ht="30" customHeight="1" x14ac:dyDescent="0.25">
      <c r="B154" s="50">
        <v>3238</v>
      </c>
      <c r="C154" s="51"/>
      <c r="D154" s="39"/>
      <c r="E154" s="58" t="s">
        <v>133</v>
      </c>
      <c r="F154" s="74"/>
      <c r="G154" s="74">
        <v>600</v>
      </c>
      <c r="H154" s="74">
        <v>600</v>
      </c>
      <c r="I154" s="73">
        <f t="shared" si="10"/>
        <v>100</v>
      </c>
    </row>
    <row r="155" spans="2:9" ht="30" customHeight="1" x14ac:dyDescent="0.25">
      <c r="B155" s="50">
        <v>3239</v>
      </c>
      <c r="C155" s="51"/>
      <c r="D155" s="39"/>
      <c r="E155" s="58" t="s">
        <v>134</v>
      </c>
      <c r="F155" s="74"/>
      <c r="G155" s="74">
        <v>0</v>
      </c>
      <c r="H155" s="74">
        <v>5026.84</v>
      </c>
      <c r="I155" s="73"/>
    </row>
    <row r="156" spans="2:9" ht="30" customHeight="1" x14ac:dyDescent="0.25">
      <c r="B156" s="50">
        <v>42</v>
      </c>
      <c r="C156" s="51"/>
      <c r="D156" s="39"/>
      <c r="E156" s="58" t="s">
        <v>154</v>
      </c>
      <c r="F156" s="74">
        <f>SUM(F157:F160)</f>
        <v>41378</v>
      </c>
      <c r="G156" s="74">
        <f t="shared" ref="G156:H156" si="18">SUM(G157:G160)</f>
        <v>20385</v>
      </c>
      <c r="H156" s="74">
        <f t="shared" si="18"/>
        <v>50930</v>
      </c>
      <c r="I156" s="73">
        <f t="shared" si="10"/>
        <v>249.84056904586706</v>
      </c>
    </row>
    <row r="157" spans="2:9" ht="30" customHeight="1" x14ac:dyDescent="0.25">
      <c r="B157" s="50">
        <v>4214</v>
      </c>
      <c r="C157" s="51"/>
      <c r="D157" s="39"/>
      <c r="E157" s="58" t="s">
        <v>154</v>
      </c>
      <c r="F157" s="74">
        <v>20142</v>
      </c>
      <c r="G157" s="73">
        <v>5240</v>
      </c>
      <c r="H157" s="73">
        <v>5240</v>
      </c>
      <c r="I157" s="73">
        <f t="shared" si="10"/>
        <v>100</v>
      </c>
    </row>
    <row r="158" spans="2:9" ht="30" customHeight="1" x14ac:dyDescent="0.25">
      <c r="B158" s="50">
        <v>4221</v>
      </c>
      <c r="C158" s="51"/>
      <c r="D158" s="39"/>
      <c r="E158" s="58" t="s">
        <v>159</v>
      </c>
      <c r="F158" s="74"/>
      <c r="G158" s="73">
        <v>1360</v>
      </c>
      <c r="H158" s="73">
        <v>1360</v>
      </c>
      <c r="I158" s="73">
        <f t="shared" si="10"/>
        <v>100</v>
      </c>
    </row>
    <row r="159" spans="2:9" ht="30" customHeight="1" x14ac:dyDescent="0.25">
      <c r="B159" s="50">
        <v>4223</v>
      </c>
      <c r="C159" s="51"/>
      <c r="D159" s="39"/>
      <c r="E159" s="58" t="s">
        <v>161</v>
      </c>
      <c r="F159" s="74">
        <v>7964</v>
      </c>
      <c r="G159" s="73">
        <v>7625</v>
      </c>
      <c r="H159" s="73">
        <v>0</v>
      </c>
      <c r="I159" s="73">
        <f t="shared" si="10"/>
        <v>0</v>
      </c>
    </row>
    <row r="160" spans="2:9" ht="30" customHeight="1" x14ac:dyDescent="0.25">
      <c r="B160" s="125">
        <v>4227</v>
      </c>
      <c r="C160" s="125"/>
      <c r="D160" s="125"/>
      <c r="E160" s="58" t="s">
        <v>109</v>
      </c>
      <c r="F160" s="74">
        <v>13272</v>
      </c>
      <c r="G160" s="73">
        <v>6160</v>
      </c>
      <c r="H160" s="73">
        <v>44330</v>
      </c>
      <c r="I160" s="73">
        <f t="shared" si="10"/>
        <v>719.64285714285711</v>
      </c>
    </row>
    <row r="161" spans="2:9" ht="30" customHeight="1" x14ac:dyDescent="0.25">
      <c r="B161" s="50" t="s">
        <v>197</v>
      </c>
      <c r="C161" s="51"/>
      <c r="D161" s="39"/>
      <c r="E161" s="58" t="s">
        <v>186</v>
      </c>
      <c r="F161" s="74">
        <f>SUM(F162)</f>
        <v>3523</v>
      </c>
      <c r="G161" s="74">
        <f>SUM(G162,G166)</f>
        <v>7575</v>
      </c>
      <c r="H161" s="74">
        <f>SUM(H162,H166)</f>
        <v>8628.16</v>
      </c>
      <c r="I161" s="73">
        <f t="shared" ref="I161:I177" si="19">H161/G161*100</f>
        <v>113.90310231023102</v>
      </c>
    </row>
    <row r="162" spans="2:9" ht="30" customHeight="1" x14ac:dyDescent="0.25">
      <c r="B162" s="50">
        <v>32</v>
      </c>
      <c r="C162" s="51"/>
      <c r="D162" s="39"/>
      <c r="E162" s="58" t="s">
        <v>12</v>
      </c>
      <c r="F162" s="74">
        <f>SUM(F165)</f>
        <v>3523</v>
      </c>
      <c r="G162" s="74">
        <f>SUM(G163:G165)</f>
        <v>7023</v>
      </c>
      <c r="H162" s="74">
        <f>SUM(H163:H165)</f>
        <v>6022.66</v>
      </c>
      <c r="I162" s="73">
        <f t="shared" si="19"/>
        <v>85.756229531539233</v>
      </c>
    </row>
    <row r="163" spans="2:9" ht="30" customHeight="1" x14ac:dyDescent="0.25">
      <c r="B163" s="50">
        <v>3221</v>
      </c>
      <c r="C163" s="51"/>
      <c r="D163" s="39"/>
      <c r="E163" s="58" t="s">
        <v>119</v>
      </c>
      <c r="F163" s="74"/>
      <c r="G163" s="74">
        <v>500</v>
      </c>
      <c r="H163" s="74">
        <v>134.16</v>
      </c>
      <c r="I163" s="73">
        <f t="shared" si="19"/>
        <v>26.832000000000001</v>
      </c>
    </row>
    <row r="164" spans="2:9" ht="30" customHeight="1" x14ac:dyDescent="0.25">
      <c r="B164" s="50">
        <v>3222</v>
      </c>
      <c r="C164" s="51"/>
      <c r="D164" s="39"/>
      <c r="E164" s="58" t="s">
        <v>120</v>
      </c>
      <c r="F164" s="74"/>
      <c r="G164" s="74">
        <v>6000</v>
      </c>
      <c r="H164" s="74">
        <v>5365.84</v>
      </c>
      <c r="I164" s="73">
        <f t="shared" si="19"/>
        <v>89.430666666666667</v>
      </c>
    </row>
    <row r="165" spans="2:9" ht="30" customHeight="1" x14ac:dyDescent="0.25">
      <c r="B165" s="50">
        <v>3225</v>
      </c>
      <c r="C165" s="51"/>
      <c r="D165" s="39"/>
      <c r="E165" s="58" t="s">
        <v>123</v>
      </c>
      <c r="F165" s="74">
        <v>3523</v>
      </c>
      <c r="G165" s="73">
        <v>523</v>
      </c>
      <c r="H165" s="73">
        <v>522.66</v>
      </c>
      <c r="I165" s="73">
        <f t="shared" si="19"/>
        <v>99.934990439770544</v>
      </c>
    </row>
    <row r="166" spans="2:9" ht="30" customHeight="1" x14ac:dyDescent="0.25">
      <c r="B166" s="125">
        <v>42</v>
      </c>
      <c r="C166" s="125"/>
      <c r="D166" s="125"/>
      <c r="E166" s="58" t="s">
        <v>154</v>
      </c>
      <c r="F166" s="74">
        <f>SUM(F167:F174)</f>
        <v>252176</v>
      </c>
      <c r="G166" s="74">
        <f>SUM(G167:G168)</f>
        <v>552</v>
      </c>
      <c r="H166" s="74">
        <f>SUM(H167:H168)</f>
        <v>2605.5</v>
      </c>
      <c r="I166" s="73">
        <f t="shared" ref="I166:I168" si="20">H166/G166*100</f>
        <v>472.01086956521738</v>
      </c>
    </row>
    <row r="167" spans="2:9" ht="30" customHeight="1" x14ac:dyDescent="0.25">
      <c r="B167" s="50">
        <v>4225</v>
      </c>
      <c r="C167" s="51"/>
      <c r="D167" s="39"/>
      <c r="E167" s="58" t="s">
        <v>163</v>
      </c>
      <c r="F167" s="74">
        <v>26545</v>
      </c>
      <c r="G167" s="74">
        <v>0</v>
      </c>
      <c r="H167" s="73">
        <v>2053.58</v>
      </c>
      <c r="I167" s="73"/>
    </row>
    <row r="168" spans="2:9" ht="30" customHeight="1" x14ac:dyDescent="0.25">
      <c r="B168" s="50">
        <v>4227</v>
      </c>
      <c r="C168" s="51"/>
      <c r="D168" s="39"/>
      <c r="E168" s="58" t="s">
        <v>109</v>
      </c>
      <c r="F168" s="74">
        <v>13272</v>
      </c>
      <c r="G168" s="74">
        <v>552</v>
      </c>
      <c r="H168" s="73">
        <v>551.91999999999996</v>
      </c>
      <c r="I168" s="73">
        <f t="shared" si="20"/>
        <v>99.985507246376798</v>
      </c>
    </row>
    <row r="169" spans="2:9" ht="30" customHeight="1" x14ac:dyDescent="0.25">
      <c r="B169" s="50" t="s">
        <v>199</v>
      </c>
      <c r="C169" s="51"/>
      <c r="D169" s="39"/>
      <c r="E169" s="58" t="s">
        <v>198</v>
      </c>
      <c r="F169" s="74">
        <f>SUM(F170)</f>
        <v>92906</v>
      </c>
      <c r="G169" s="74">
        <f t="shared" ref="G169:H169" si="21">SUM(G170)</f>
        <v>92906</v>
      </c>
      <c r="H169" s="74">
        <f t="shared" si="21"/>
        <v>11820.06</v>
      </c>
      <c r="I169" s="73">
        <f t="shared" si="19"/>
        <v>12.722601338987793</v>
      </c>
    </row>
    <row r="170" spans="2:9" ht="30" customHeight="1" x14ac:dyDescent="0.25">
      <c r="B170" s="125">
        <v>42</v>
      </c>
      <c r="C170" s="125"/>
      <c r="D170" s="125"/>
      <c r="E170" s="58" t="s">
        <v>154</v>
      </c>
      <c r="F170" s="74">
        <f>SUM(F174:F178)</f>
        <v>92906</v>
      </c>
      <c r="G170" s="74">
        <f>SUM(G171,G174:G178)</f>
        <v>92906</v>
      </c>
      <c r="H170" s="74">
        <f>SUM(H171,H174:H178)</f>
        <v>11820.06</v>
      </c>
      <c r="I170" s="73">
        <f t="shared" si="19"/>
        <v>12.722601338987793</v>
      </c>
    </row>
    <row r="171" spans="2:9" ht="30" customHeight="1" x14ac:dyDescent="0.25">
      <c r="B171" s="50">
        <v>4214</v>
      </c>
      <c r="C171" s="51"/>
      <c r="D171" s="39"/>
      <c r="E171" s="58" t="s">
        <v>157</v>
      </c>
      <c r="F171" s="74"/>
      <c r="G171" s="74">
        <v>10000</v>
      </c>
      <c r="H171" s="74">
        <v>0</v>
      </c>
      <c r="I171" s="73"/>
    </row>
    <row r="172" spans="2:9" ht="25.5" x14ac:dyDescent="0.25">
      <c r="B172" s="111" t="s">
        <v>7</v>
      </c>
      <c r="C172" s="112"/>
      <c r="D172" s="112"/>
      <c r="E172" s="113"/>
      <c r="F172" s="33" t="s">
        <v>60</v>
      </c>
      <c r="G172" s="33" t="s">
        <v>57</v>
      </c>
      <c r="H172" s="33" t="s">
        <v>209</v>
      </c>
      <c r="I172" s="33" t="s">
        <v>58</v>
      </c>
    </row>
    <row r="173" spans="2:9" s="38" customFormat="1" ht="11.25" x14ac:dyDescent="0.2">
      <c r="B173" s="114">
        <v>1</v>
      </c>
      <c r="C173" s="115"/>
      <c r="D173" s="115"/>
      <c r="E173" s="116"/>
      <c r="F173" s="35">
        <v>2</v>
      </c>
      <c r="G173" s="35">
        <v>2</v>
      </c>
      <c r="H173" s="35">
        <v>3</v>
      </c>
      <c r="I173" s="35" t="s">
        <v>215</v>
      </c>
    </row>
    <row r="174" spans="2:9" ht="30" customHeight="1" x14ac:dyDescent="0.25">
      <c r="B174" s="50">
        <v>4223</v>
      </c>
      <c r="C174" s="51"/>
      <c r="D174" s="39"/>
      <c r="E174" s="58" t="s">
        <v>161</v>
      </c>
      <c r="F174" s="74">
        <v>26545</v>
      </c>
      <c r="G174" s="74">
        <v>44593</v>
      </c>
      <c r="H174" s="73">
        <v>3708.06</v>
      </c>
      <c r="I174" s="73">
        <f t="shared" si="19"/>
        <v>8.3153409727984204</v>
      </c>
    </row>
    <row r="175" spans="2:9" ht="30" customHeight="1" x14ac:dyDescent="0.25">
      <c r="B175" s="50">
        <v>4225</v>
      </c>
      <c r="C175" s="51"/>
      <c r="D175" s="39"/>
      <c r="E175" s="58" t="s">
        <v>163</v>
      </c>
      <c r="F175" s="74">
        <v>13272</v>
      </c>
      <c r="G175" s="74">
        <v>18272</v>
      </c>
      <c r="H175" s="73">
        <v>2132.1</v>
      </c>
      <c r="I175" s="73">
        <f t="shared" si="19"/>
        <v>11.668673380035026</v>
      </c>
    </row>
    <row r="176" spans="2:9" ht="30" customHeight="1" x14ac:dyDescent="0.25">
      <c r="B176" s="50">
        <v>4227</v>
      </c>
      <c r="C176" s="51"/>
      <c r="D176" s="39"/>
      <c r="E176" s="58" t="s">
        <v>109</v>
      </c>
      <c r="F176" s="74">
        <v>6769</v>
      </c>
      <c r="G176" s="74">
        <v>6769</v>
      </c>
      <c r="H176" s="73">
        <v>5979.9</v>
      </c>
      <c r="I176" s="73">
        <f t="shared" si="19"/>
        <v>88.34244349239178</v>
      </c>
    </row>
    <row r="177" spans="2:9" ht="30" customHeight="1" x14ac:dyDescent="0.25">
      <c r="B177" s="50">
        <v>4231</v>
      </c>
      <c r="C177" s="51"/>
      <c r="D177" s="39"/>
      <c r="E177" s="58" t="s">
        <v>101</v>
      </c>
      <c r="F177" s="74">
        <v>13272</v>
      </c>
      <c r="G177" s="74">
        <v>13272</v>
      </c>
      <c r="H177" s="73">
        <v>0</v>
      </c>
      <c r="I177" s="73">
        <f t="shared" si="19"/>
        <v>0</v>
      </c>
    </row>
    <row r="178" spans="2:9" ht="30" customHeight="1" x14ac:dyDescent="0.25">
      <c r="B178" s="119">
        <v>4252</v>
      </c>
      <c r="C178" s="120"/>
      <c r="D178" s="121"/>
      <c r="E178" s="41" t="s">
        <v>103</v>
      </c>
      <c r="F178" s="74">
        <v>33048</v>
      </c>
      <c r="G178" s="74">
        <v>0</v>
      </c>
      <c r="H178" s="73">
        <v>0</v>
      </c>
      <c r="I178" s="73"/>
    </row>
    <row r="181" spans="2:9" x14ac:dyDescent="0.25">
      <c r="B181" s="40"/>
      <c r="C181" s="40"/>
      <c r="D181" s="40"/>
      <c r="E181" s="70"/>
      <c r="F181" s="40"/>
      <c r="G181" s="40"/>
      <c r="H181" s="40"/>
      <c r="I181" s="40"/>
    </row>
    <row r="182" spans="2:9" x14ac:dyDescent="0.25">
      <c r="B182" s="40"/>
      <c r="C182" s="40"/>
      <c r="D182" s="40"/>
      <c r="E182" s="70"/>
      <c r="F182" s="40"/>
      <c r="G182" s="40"/>
      <c r="H182" s="40"/>
      <c r="I182" s="40"/>
    </row>
    <row r="183" spans="2:9" x14ac:dyDescent="0.25">
      <c r="B183" s="40"/>
      <c r="C183" s="40"/>
      <c r="D183" s="40"/>
      <c r="E183" s="70"/>
      <c r="F183" s="40"/>
      <c r="G183" s="40"/>
      <c r="H183" s="40"/>
      <c r="I183" s="40"/>
    </row>
  </sheetData>
  <mergeCells count="30">
    <mergeCell ref="B89:E89"/>
    <mergeCell ref="B21:D21"/>
    <mergeCell ref="B19:D19"/>
    <mergeCell ref="B178:D178"/>
    <mergeCell ref="B22:D22"/>
    <mergeCell ref="B160:D160"/>
    <mergeCell ref="B170:D170"/>
    <mergeCell ref="B20:D20"/>
    <mergeCell ref="B46:E46"/>
    <mergeCell ref="B47:E47"/>
    <mergeCell ref="B130:E130"/>
    <mergeCell ref="B131:E131"/>
    <mergeCell ref="B166:D166"/>
    <mergeCell ref="B172:E172"/>
    <mergeCell ref="B173:E173"/>
    <mergeCell ref="B88:E88"/>
    <mergeCell ref="B4:I4"/>
    <mergeCell ref="B6:E6"/>
    <mergeCell ref="B7:E7"/>
    <mergeCell ref="B2:I2"/>
    <mergeCell ref="B18:D18"/>
    <mergeCell ref="B8:D8"/>
    <mergeCell ref="B16:D16"/>
    <mergeCell ref="B17:D17"/>
    <mergeCell ref="B10:D10"/>
    <mergeCell ref="B9:D9"/>
    <mergeCell ref="B11:D11"/>
    <mergeCell ref="B13:D13"/>
    <mergeCell ref="B14:D14"/>
    <mergeCell ref="B15:D15"/>
  </mergeCells>
  <pageMargins left="0.7" right="0.7" top="0.75" bottom="0.75" header="0.3" footer="0.3"/>
  <pageSetup paperSize="9" scale="60" fitToHeight="0" orientation="portrait" r:id="rId1"/>
  <rowBreaks count="3" manualBreakCount="3">
    <brk id="87" max="16383" man="1"/>
    <brk id="129" max="16383" man="1"/>
    <brk id="1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Magda</cp:lastModifiedBy>
  <cp:lastPrinted>2024-02-05T07:29:30Z</cp:lastPrinted>
  <dcterms:created xsi:type="dcterms:W3CDTF">2022-08-12T12:51:27Z</dcterms:created>
  <dcterms:modified xsi:type="dcterms:W3CDTF">2024-02-05T07:32:46Z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